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68" windowHeight="96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'Sheet1'!$A$1:$N$47</definedName>
  </definedNames>
  <calcPr fullCalcOnLoad="1"/>
</workbook>
</file>

<file path=xl/sharedStrings.xml><?xml version="1.0" encoding="utf-8"?>
<sst xmlns="http://schemas.openxmlformats.org/spreadsheetml/2006/main" count="71" uniqueCount="46">
  <si>
    <t>LDC</t>
  </si>
  <si>
    <t>Rate Base</t>
  </si>
  <si>
    <t>Deemed Debt</t>
  </si>
  <si>
    <t>Actual Debt</t>
  </si>
  <si>
    <t>Affiliate Debt</t>
  </si>
  <si>
    <t>Revenue Requirement</t>
  </si>
  <si>
    <t>Barrie Hydro</t>
  </si>
  <si>
    <t>Arms-Length Debt</t>
  </si>
  <si>
    <t>Chatham-Kent Hydro</t>
  </si>
  <si>
    <t>Enersource Hydro Mississauga</t>
  </si>
  <si>
    <t>Greater Sudbury</t>
  </si>
  <si>
    <t>Horizon Utilities</t>
  </si>
  <si>
    <t>Kingston Electricity Distribution</t>
  </si>
  <si>
    <t>London Hydro</t>
  </si>
  <si>
    <t>Milton Hydro</t>
  </si>
  <si>
    <t>Niagara Falls Hydro</t>
  </si>
  <si>
    <t>Orangeville Hydro</t>
  </si>
  <si>
    <t>Cost of Capital as % of Rates</t>
  </si>
  <si>
    <t>Powerstream</t>
  </si>
  <si>
    <t>Renfrew Hydro</t>
  </si>
  <si>
    <t>Tay Hydro</t>
  </si>
  <si>
    <t>Veridian Connections</t>
  </si>
  <si>
    <t>Whitby Hydro</t>
  </si>
  <si>
    <t>Expected Grossed up Cost of Capital</t>
  </si>
  <si>
    <t>Net Ratepayer Benefit/(Cost)</t>
  </si>
  <si>
    <t>Totals and Averages</t>
  </si>
  <si>
    <t>Interest Rate</t>
  </si>
  <si>
    <t>Principal   Amount</t>
  </si>
  <si>
    <t>Cost of Capital for which recovery sought</t>
  </si>
  <si>
    <t>Interest Component</t>
  </si>
  <si>
    <t>Return on Equity</t>
  </si>
  <si>
    <t>Grossup to Pre-Tax Equivalent</t>
  </si>
  <si>
    <t>Total Grossed up Cost of Capital</t>
  </si>
  <si>
    <t>Drivers of Percentage</t>
  </si>
  <si>
    <t>Capital Intensity</t>
  </si>
  <si>
    <t>Revenue % Variance from Mean</t>
  </si>
  <si>
    <t>Cap. Inten. Variance from Mean</t>
  </si>
  <si>
    <t>Pre-Tax Cost of Capital as %</t>
  </si>
  <si>
    <t>Cost of Capital at Actual Rates</t>
  </si>
  <si>
    <t>Cost of Capital at Deemed Rates</t>
  </si>
  <si>
    <t xml:space="preserve">Cost of Capital Comparison - Sample Group of LDCs </t>
  </si>
  <si>
    <t>Source: 2006 EDR Filings</t>
  </si>
  <si>
    <t>Service    Revenue Requirement</t>
  </si>
  <si>
    <t>% of                  Rate Base</t>
  </si>
  <si>
    <t>Expected Composite Rate</t>
  </si>
  <si>
    <t>Composite    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</si>
</sst>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0_);\(&quot;$&quot;#,##0.0000\)"/>
    <numFmt numFmtId="166" formatCode="0.00_);\(0.00\)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5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5" fontId="2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5" fontId="1" fillId="0" borderId="1" xfId="0" applyNumberFormat="1" applyFont="1" applyBorder="1" applyAlignment="1">
      <alignment horizontal="center"/>
    </xf>
    <xf numFmtId="5" fontId="2" fillId="0" borderId="2" xfId="0" applyNumberFormat="1" applyFont="1" applyBorder="1" applyAlignment="1">
      <alignment/>
    </xf>
    <xf numFmtId="5" fontId="0" fillId="0" borderId="2" xfId="0" applyNumberFormat="1" applyBorder="1" applyAlignment="1">
      <alignment/>
    </xf>
    <xf numFmtId="5" fontId="0" fillId="0" borderId="3" xfId="0" applyNumberFormat="1" applyBorder="1" applyAlignment="1">
      <alignment/>
    </xf>
    <xf numFmtId="164" fontId="1" fillId="0" borderId="4" xfId="0" applyNumberFormat="1" applyFont="1" applyBorder="1" applyAlignment="1">
      <alignment horizontal="centerContinuous"/>
    </xf>
    <xf numFmtId="10" fontId="1" fillId="0" borderId="5" xfId="0" applyNumberFormat="1" applyFont="1" applyBorder="1" applyAlignment="1">
      <alignment horizontal="centerContinuous"/>
    </xf>
    <xf numFmtId="5" fontId="1" fillId="0" borderId="6" xfId="0" applyNumberFormat="1" applyFont="1" applyBorder="1" applyAlignment="1">
      <alignment horizontal="centerContinuous"/>
    </xf>
    <xf numFmtId="164" fontId="3" fillId="0" borderId="7" xfId="0" applyNumberFormat="1" applyFont="1" applyBorder="1" applyAlignment="1">
      <alignment horizontal="center" wrapText="1"/>
    </xf>
    <xf numFmtId="10" fontId="3" fillId="0" borderId="0" xfId="0" applyNumberFormat="1" applyFont="1" applyBorder="1" applyAlignment="1">
      <alignment horizontal="center" wrapText="1"/>
    </xf>
    <xf numFmtId="5" fontId="3" fillId="0" borderId="8" xfId="0" applyNumberFormat="1" applyFont="1" applyBorder="1" applyAlignment="1">
      <alignment horizontal="center" wrapText="1"/>
    </xf>
    <xf numFmtId="164" fontId="0" fillId="0" borderId="7" xfId="0" applyNumberFormat="1" applyBorder="1" applyAlignment="1">
      <alignment/>
    </xf>
    <xf numFmtId="10" fontId="0" fillId="0" borderId="0" xfId="0" applyNumberFormat="1" applyBorder="1" applyAlignment="1">
      <alignment/>
    </xf>
    <xf numFmtId="5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0" fontId="0" fillId="0" borderId="10" xfId="0" applyNumberFormat="1" applyBorder="1" applyAlignment="1">
      <alignment/>
    </xf>
    <xf numFmtId="5" fontId="0" fillId="0" borderId="11" xfId="0" applyNumberFormat="1" applyBorder="1" applyAlignment="1">
      <alignment/>
    </xf>
    <xf numFmtId="10" fontId="1" fillId="0" borderId="4" xfId="0" applyNumberFormat="1" applyFont="1" applyBorder="1" applyAlignment="1">
      <alignment horizontal="centerContinuous"/>
    </xf>
    <xf numFmtId="10" fontId="3" fillId="0" borderId="7" xfId="0" applyNumberFormat="1" applyFont="1" applyBorder="1" applyAlignment="1">
      <alignment horizontal="center" wrapText="1"/>
    </xf>
    <xf numFmtId="10" fontId="0" fillId="0" borderId="7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1" fillId="0" borderId="4" xfId="0" applyFont="1" applyBorder="1" applyAlignment="1">
      <alignment horizontal="centerContinuous"/>
    </xf>
    <xf numFmtId="10" fontId="0" fillId="0" borderId="7" xfId="19" applyNumberFormat="1" applyFill="1" applyBorder="1" applyAlignment="1" applyProtection="1">
      <alignment/>
      <protection locked="0"/>
    </xf>
    <xf numFmtId="5" fontId="1" fillId="0" borderId="5" xfId="0" applyNumberFormat="1" applyFont="1" applyBorder="1" applyAlignment="1">
      <alignment horizontal="centerContinuous"/>
    </xf>
    <xf numFmtId="5" fontId="3" fillId="0" borderId="0" xfId="0" applyNumberFormat="1" applyFont="1" applyBorder="1" applyAlignment="1">
      <alignment horizontal="center" wrapText="1"/>
    </xf>
    <xf numFmtId="5" fontId="0" fillId="0" borderId="0" xfId="0" applyNumberFormat="1" applyBorder="1" applyAlignment="1">
      <alignment/>
    </xf>
    <xf numFmtId="10" fontId="0" fillId="0" borderId="8" xfId="0" applyNumberFormat="1" applyBorder="1" applyAlignment="1">
      <alignment/>
    </xf>
    <xf numFmtId="5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5" fontId="1" fillId="0" borderId="4" xfId="0" applyNumberFormat="1" applyFont="1" applyBorder="1" applyAlignment="1">
      <alignment horizontal="centerContinuous"/>
    </xf>
    <xf numFmtId="5" fontId="0" fillId="0" borderId="7" xfId="0" applyNumberFormat="1" applyBorder="1" applyAlignment="1">
      <alignment/>
    </xf>
    <xf numFmtId="10" fontId="1" fillId="0" borderId="6" xfId="0" applyNumberFormat="1" applyFont="1" applyBorder="1" applyAlignment="1">
      <alignment horizontal="centerContinuous"/>
    </xf>
    <xf numFmtId="5" fontId="3" fillId="0" borderId="7" xfId="0" applyNumberFormat="1" applyFont="1" applyBorder="1" applyAlignment="1">
      <alignment horizontal="center" wrapText="1"/>
    </xf>
    <xf numFmtId="10" fontId="3" fillId="0" borderId="8" xfId="0" applyNumberFormat="1" applyFont="1" applyBorder="1" applyAlignment="1">
      <alignment horizontal="center" wrapText="1"/>
    </xf>
    <xf numFmtId="5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tabSelected="1" workbookViewId="0" topLeftCell="E33">
      <selection activeCell="M24" sqref="M24"/>
    </sheetView>
  </sheetViews>
  <sheetFormatPr defaultColWidth="9.140625" defaultRowHeight="12.75"/>
  <cols>
    <col min="1" max="1" width="26.140625" style="0" customWidth="1"/>
    <col min="2" max="2" width="14.28125" style="4" customWidth="1"/>
    <col min="3" max="3" width="14.7109375" style="6" customWidth="1"/>
    <col min="4" max="4" width="14.28125" style="5" customWidth="1"/>
    <col min="5" max="5" width="14.421875" style="4" customWidth="1"/>
    <col min="6" max="6" width="13.7109375" style="6" customWidth="1"/>
    <col min="7" max="7" width="12.7109375" style="5" customWidth="1"/>
    <col min="8" max="8" width="15.28125" style="4" customWidth="1"/>
    <col min="9" max="9" width="11.28125" style="5" customWidth="1"/>
    <col min="10" max="10" width="13.421875" style="4" customWidth="1"/>
    <col min="11" max="11" width="12.7109375" style="5" customWidth="1"/>
    <col min="12" max="12" width="13.421875" style="4" customWidth="1"/>
    <col min="13" max="13" width="14.00390625" style="5" customWidth="1"/>
    <col min="14" max="14" width="11.28125" style="4" customWidth="1"/>
    <col min="15" max="15" width="11.7109375" style="4" customWidth="1"/>
    <col min="16" max="16" width="13.421875" style="4" customWidth="1"/>
    <col min="17" max="17" width="11.7109375" style="4" customWidth="1"/>
    <col min="18" max="18" width="13.140625" style="4" customWidth="1"/>
    <col min="19" max="19" width="11.28125" style="4" customWidth="1"/>
    <col min="20" max="20" width="10.00390625" style="4" customWidth="1"/>
    <col min="21" max="22" width="12.8515625" style="4" customWidth="1"/>
    <col min="23" max="23" width="11.8515625" style="4" customWidth="1"/>
    <col min="24" max="24" width="13.140625" style="4" customWidth="1"/>
    <col min="25" max="25" width="10.7109375" style="5" customWidth="1"/>
    <col min="30" max="31" width="10.28125" style="0" customWidth="1"/>
    <col min="32" max="32" width="13.421875" style="4" bestFit="1" customWidth="1"/>
    <col min="33" max="33" width="11.7109375" style="4" customWidth="1"/>
    <col min="34" max="34" width="12.28125" style="4" customWidth="1"/>
    <col min="35" max="35" width="12.421875" style="4" customWidth="1"/>
    <col min="36" max="36" width="8.8515625" style="4" customWidth="1"/>
  </cols>
  <sheetData>
    <row r="1" spans="2:36" ht="12.7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F1"/>
      <c r="AG1"/>
      <c r="AH1"/>
      <c r="AI1"/>
      <c r="AJ1"/>
    </row>
    <row r="2" ht="15">
      <c r="A2" s="13" t="s">
        <v>40</v>
      </c>
    </row>
    <row r="3" ht="12.75">
      <c r="A3" s="12" t="s">
        <v>41</v>
      </c>
    </row>
    <row r="5" spans="1:36" s="1" customFormat="1" ht="12.75">
      <c r="A5" s="14" t="s">
        <v>0</v>
      </c>
      <c r="B5" s="18" t="s">
        <v>1</v>
      </c>
      <c r="C5" s="22" t="s">
        <v>2</v>
      </c>
      <c r="D5" s="23"/>
      <c r="E5" s="24"/>
      <c r="F5" s="22" t="s">
        <v>3</v>
      </c>
      <c r="G5" s="23"/>
      <c r="H5" s="24"/>
      <c r="I5" s="38" t="s">
        <v>4</v>
      </c>
      <c r="J5" s="24"/>
      <c r="K5" s="34" t="s">
        <v>7</v>
      </c>
      <c r="L5" s="24"/>
      <c r="AC5" s="2" t="s">
        <v>33</v>
      </c>
      <c r="AD5" s="2"/>
      <c r="AE5" s="2"/>
      <c r="AF5" s="8"/>
      <c r="AG5" s="8"/>
      <c r="AH5" s="8"/>
      <c r="AI5" s="8"/>
      <c r="AJ5" s="8"/>
    </row>
    <row r="6" spans="1:36" s="3" customFormat="1" ht="25.5" customHeight="1">
      <c r="A6" s="15"/>
      <c r="B6" s="19"/>
      <c r="C6" s="25" t="s">
        <v>43</v>
      </c>
      <c r="D6" s="26" t="s">
        <v>26</v>
      </c>
      <c r="E6" s="27" t="s">
        <v>27</v>
      </c>
      <c r="F6" s="25" t="s">
        <v>43</v>
      </c>
      <c r="G6" s="26" t="s">
        <v>26</v>
      </c>
      <c r="H6" s="27" t="s">
        <v>27</v>
      </c>
      <c r="I6" s="35" t="s">
        <v>26</v>
      </c>
      <c r="J6" s="27" t="s">
        <v>27</v>
      </c>
      <c r="K6" s="35" t="s">
        <v>26</v>
      </c>
      <c r="L6" s="27" t="s">
        <v>27</v>
      </c>
      <c r="AC6" s="10" t="s">
        <v>34</v>
      </c>
      <c r="AD6" s="11" t="s">
        <v>36</v>
      </c>
      <c r="AE6" s="11" t="s">
        <v>35</v>
      </c>
      <c r="AF6" s="7"/>
      <c r="AG6" s="7"/>
      <c r="AH6" s="7"/>
      <c r="AI6" s="7"/>
      <c r="AJ6" s="7"/>
    </row>
    <row r="7" spans="1:12" ht="12.75">
      <c r="A7" s="16"/>
      <c r="B7" s="20"/>
      <c r="C7" s="28"/>
      <c r="D7" s="29"/>
      <c r="E7" s="30"/>
      <c r="F7" s="28"/>
      <c r="G7" s="29"/>
      <c r="H7" s="30"/>
      <c r="I7" s="36"/>
      <c r="J7" s="30"/>
      <c r="K7" s="36"/>
      <c r="L7" s="30"/>
    </row>
    <row r="8" spans="1:35" ht="12.75">
      <c r="A8" s="16" t="s">
        <v>6</v>
      </c>
      <c r="B8" s="20">
        <v>128003022.35303433</v>
      </c>
      <c r="C8" s="28">
        <v>0.55</v>
      </c>
      <c r="D8" s="29">
        <v>0.06</v>
      </c>
      <c r="E8" s="30">
        <f aca="true" t="shared" si="0" ref="E8:E22">+C8*B8</f>
        <v>70401662.29416889</v>
      </c>
      <c r="F8" s="28">
        <v>0.4542840844507402</v>
      </c>
      <c r="G8" s="29">
        <v>0.06905555555555555</v>
      </c>
      <c r="H8" s="30">
        <v>60790241</v>
      </c>
      <c r="I8" s="36">
        <v>0.075</v>
      </c>
      <c r="J8" s="30">
        <v>20000000</v>
      </c>
      <c r="K8" s="36">
        <v>0.0683</v>
      </c>
      <c r="L8" s="30">
        <v>25000000</v>
      </c>
      <c r="AC8" s="9">
        <f aca="true" t="shared" si="1" ref="AC8:AC22">+B8/M30</f>
        <v>4.550359307014195</v>
      </c>
      <c r="AD8" s="5">
        <f>+(AC8-$AC$24)/$AC$24</f>
        <v>0.1323864836868878</v>
      </c>
      <c r="AE8" s="5">
        <f aca="true" t="shared" si="2" ref="AE8:AE22">+(N30-$N$46)/$N$46</f>
        <v>0.1719189063587623</v>
      </c>
      <c r="AF8" s="4">
        <f>+D8*E8</f>
        <v>4224099.737650134</v>
      </c>
      <c r="AG8" s="4">
        <f>+G8*H8</f>
        <v>4197903.864611111</v>
      </c>
      <c r="AH8" s="4">
        <f>+I8*J8</f>
        <v>1500000</v>
      </c>
      <c r="AI8" s="4">
        <f>+K8*L8</f>
        <v>1707500</v>
      </c>
    </row>
    <row r="9" spans="1:35" ht="12.75">
      <c r="A9" s="16" t="s">
        <v>8</v>
      </c>
      <c r="B9" s="20">
        <v>51095146.80536345</v>
      </c>
      <c r="C9" s="28">
        <v>0.5</v>
      </c>
      <c r="D9" s="29">
        <v>0.0625</v>
      </c>
      <c r="E9" s="30">
        <f t="shared" si="0"/>
        <v>25547573.402681723</v>
      </c>
      <c r="F9" s="28">
        <v>0.4543502530857889</v>
      </c>
      <c r="G9" s="29">
        <v>0.0704</v>
      </c>
      <c r="H9" s="30">
        <v>23523326</v>
      </c>
      <c r="I9" s="39">
        <v>0.0704</v>
      </c>
      <c r="J9" s="30">
        <v>23523326</v>
      </c>
      <c r="K9" s="36">
        <v>0</v>
      </c>
      <c r="L9" s="30">
        <v>0</v>
      </c>
      <c r="AC9" s="9">
        <f t="shared" si="1"/>
        <v>3.7833613427002883</v>
      </c>
      <c r="AD9" s="5">
        <f aca="true" t="shared" si="3" ref="AD9:AD22">+(AC9-$AC$24)/$AC$24</f>
        <v>-0.058485944005934</v>
      </c>
      <c r="AE9" s="5">
        <f t="shared" si="2"/>
        <v>0.015363913242194712</v>
      </c>
      <c r="AF9" s="4">
        <f aca="true" t="shared" si="4" ref="AF9:AF22">+D9*E9</f>
        <v>1596723.3376676077</v>
      </c>
      <c r="AG9" s="4">
        <f aca="true" t="shared" si="5" ref="AG9:AG22">+G9*H9</f>
        <v>1656042.1504000002</v>
      </c>
      <c r="AH9" s="4">
        <f aca="true" t="shared" si="6" ref="AH9:AH22">+I9*J9</f>
        <v>1656042.1504000002</v>
      </c>
      <c r="AI9" s="4">
        <f aca="true" t="shared" si="7" ref="AI9:AI22">+K9*L9</f>
        <v>0</v>
      </c>
    </row>
    <row r="10" spans="1:35" ht="12.75">
      <c r="A10" s="16" t="s">
        <v>9</v>
      </c>
      <c r="B10" s="20">
        <v>483394421.3284426</v>
      </c>
      <c r="C10" s="28">
        <v>0.6</v>
      </c>
      <c r="D10" s="29">
        <v>0.059000000000000004</v>
      </c>
      <c r="E10" s="30">
        <f t="shared" si="0"/>
        <v>290036652.79706556</v>
      </c>
      <c r="F10" s="28">
        <v>0.6278700698667833</v>
      </c>
      <c r="G10" s="29">
        <v>0.0644</v>
      </c>
      <c r="H10" s="30">
        <v>290000000</v>
      </c>
      <c r="I10" s="36">
        <f>+G10</f>
        <v>0.0644</v>
      </c>
      <c r="J10" s="30">
        <f>+H10</f>
        <v>290000000</v>
      </c>
      <c r="K10" s="36">
        <v>0</v>
      </c>
      <c r="L10" s="30">
        <v>0</v>
      </c>
      <c r="AC10" s="9">
        <f t="shared" si="1"/>
        <v>4.351417926616105</v>
      </c>
      <c r="AD10" s="5">
        <f t="shared" si="3"/>
        <v>0.08287862837059433</v>
      </c>
      <c r="AE10" s="5">
        <f t="shared" si="2"/>
        <v>0.05010145195412427</v>
      </c>
      <c r="AF10" s="4">
        <f t="shared" si="4"/>
        <v>17112162.515026867</v>
      </c>
      <c r="AG10" s="4">
        <f t="shared" si="5"/>
        <v>18676000</v>
      </c>
      <c r="AH10" s="4">
        <f t="shared" si="6"/>
        <v>18676000</v>
      </c>
      <c r="AI10" s="4">
        <f t="shared" si="7"/>
        <v>0</v>
      </c>
    </row>
    <row r="11" spans="1:35" ht="12.75">
      <c r="A11" s="16" t="s">
        <v>10</v>
      </c>
      <c r="B11" s="20">
        <v>72186374.6267735</v>
      </c>
      <c r="C11" s="28">
        <v>0.5</v>
      </c>
      <c r="D11" s="29">
        <f>+D9</f>
        <v>0.0625</v>
      </c>
      <c r="E11" s="30">
        <f t="shared" si="0"/>
        <v>36093187.31338675</v>
      </c>
      <c r="F11" s="28">
        <v>0.7107525674516757</v>
      </c>
      <c r="G11" s="29">
        <v>0.0725</v>
      </c>
      <c r="H11" s="30">
        <v>48645458</v>
      </c>
      <c r="I11" s="36">
        <f>+G11</f>
        <v>0.0725</v>
      </c>
      <c r="J11" s="30">
        <f>+H11</f>
        <v>48645458</v>
      </c>
      <c r="K11" s="36">
        <v>0</v>
      </c>
      <c r="L11" s="30">
        <v>0</v>
      </c>
      <c r="AC11" s="9">
        <f t="shared" si="1"/>
        <v>3.486310252784686</v>
      </c>
      <c r="AD11" s="5">
        <f t="shared" si="3"/>
        <v>-0.13240903809355373</v>
      </c>
      <c r="AE11" s="5">
        <f t="shared" si="2"/>
        <v>-0.055058174379111445</v>
      </c>
      <c r="AF11" s="4">
        <f t="shared" si="4"/>
        <v>2255824.207086672</v>
      </c>
      <c r="AG11" s="4">
        <f t="shared" si="5"/>
        <v>3526795.7049999996</v>
      </c>
      <c r="AH11" s="4">
        <f t="shared" si="6"/>
        <v>3526795.7049999996</v>
      </c>
      <c r="AI11" s="4">
        <f t="shared" si="7"/>
        <v>0</v>
      </c>
    </row>
    <row r="12" spans="1:35" ht="12.75">
      <c r="A12" s="16" t="s">
        <v>11</v>
      </c>
      <c r="B12" s="20">
        <v>334340506.8414012</v>
      </c>
      <c r="C12" s="28">
        <f>+C10</f>
        <v>0.6</v>
      </c>
      <c r="D12" s="29">
        <f>+D10</f>
        <v>0.059000000000000004</v>
      </c>
      <c r="E12" s="30">
        <f t="shared" si="0"/>
        <v>200604304.10484073</v>
      </c>
      <c r="F12" s="28">
        <v>0.5829905236704338</v>
      </c>
      <c r="G12" s="29">
        <v>0.06988034849657726</v>
      </c>
      <c r="H12" s="30">
        <f>228734*1000</f>
        <v>228734000</v>
      </c>
      <c r="I12" s="36">
        <v>0.07</v>
      </c>
      <c r="J12" s="30">
        <v>116000000</v>
      </c>
      <c r="K12" s="36">
        <v>0.069</v>
      </c>
      <c r="L12" s="30">
        <f>15235000+531000</f>
        <v>15766000</v>
      </c>
      <c r="AC12" s="9">
        <f t="shared" si="1"/>
        <v>3.9351814799041174</v>
      </c>
      <c r="AD12" s="5">
        <f t="shared" si="3"/>
        <v>-0.02070451627206285</v>
      </c>
      <c r="AE12" s="5">
        <f t="shared" si="2"/>
        <v>-0.017474778936469416</v>
      </c>
      <c r="AF12" s="4">
        <f t="shared" si="4"/>
        <v>11835653.942185603</v>
      </c>
      <c r="AG12" s="4">
        <f t="shared" si="5"/>
        <v>15984011.633016104</v>
      </c>
      <c r="AH12" s="4">
        <f t="shared" si="6"/>
        <v>8120000.000000001</v>
      </c>
      <c r="AI12" s="4">
        <f t="shared" si="7"/>
        <v>1087854</v>
      </c>
    </row>
    <row r="13" spans="1:35" ht="12.75">
      <c r="A13" s="16" t="s">
        <v>12</v>
      </c>
      <c r="B13" s="20">
        <v>28093917.408357248</v>
      </c>
      <c r="C13" s="28">
        <f>+C11</f>
        <v>0.5</v>
      </c>
      <c r="D13" s="29">
        <f>+D11</f>
        <v>0.0625</v>
      </c>
      <c r="E13" s="30">
        <f t="shared" si="0"/>
        <v>14046958.704178624</v>
      </c>
      <c r="F13" s="28">
        <v>0.5</v>
      </c>
      <c r="G13" s="29">
        <v>0.0725</v>
      </c>
      <c r="H13" s="30">
        <f>12380.619*1000</f>
        <v>12380619</v>
      </c>
      <c r="I13" s="36">
        <f aca="true" t="shared" si="8" ref="I13:J15">+G13</f>
        <v>0.0725</v>
      </c>
      <c r="J13" s="30">
        <f t="shared" si="8"/>
        <v>12380619</v>
      </c>
      <c r="K13" s="36">
        <v>0</v>
      </c>
      <c r="L13" s="30">
        <v>0</v>
      </c>
      <c r="AC13" s="9">
        <f t="shared" si="1"/>
        <v>2.86595297133456</v>
      </c>
      <c r="AD13" s="5">
        <f t="shared" si="3"/>
        <v>-0.2867889789232843</v>
      </c>
      <c r="AE13" s="5">
        <f t="shared" si="2"/>
        <v>-0.2617718308846793</v>
      </c>
      <c r="AF13" s="4">
        <f t="shared" si="4"/>
        <v>877934.919011164</v>
      </c>
      <c r="AG13" s="4">
        <f t="shared" si="5"/>
        <v>897594.8775</v>
      </c>
      <c r="AH13" s="4">
        <f t="shared" si="6"/>
        <v>897594.8775</v>
      </c>
      <c r="AI13" s="4">
        <f t="shared" si="7"/>
        <v>0</v>
      </c>
    </row>
    <row r="14" spans="1:35" ht="12.75">
      <c r="A14" s="16" t="s">
        <v>13</v>
      </c>
      <c r="B14" s="20">
        <v>199770610.24291536</v>
      </c>
      <c r="C14" s="28">
        <f>+C8</f>
        <v>0.55</v>
      </c>
      <c r="D14" s="29">
        <f>+D8</f>
        <v>0.06</v>
      </c>
      <c r="E14" s="30">
        <f t="shared" si="0"/>
        <v>109873835.63360345</v>
      </c>
      <c r="F14" s="28">
        <v>0.37323579437906895</v>
      </c>
      <c r="G14" s="29">
        <v>0.06</v>
      </c>
      <c r="H14" s="30">
        <v>70000000</v>
      </c>
      <c r="I14" s="36">
        <f t="shared" si="8"/>
        <v>0.06</v>
      </c>
      <c r="J14" s="30">
        <f t="shared" si="8"/>
        <v>70000000</v>
      </c>
      <c r="K14" s="36">
        <v>0</v>
      </c>
      <c r="L14" s="30">
        <v>0</v>
      </c>
      <c r="AC14" s="9">
        <f t="shared" si="1"/>
        <v>3.965250491792619</v>
      </c>
      <c r="AD14" s="5">
        <f t="shared" si="3"/>
        <v>-0.01322164726260396</v>
      </c>
      <c r="AE14" s="5">
        <f t="shared" si="2"/>
        <v>-0.028942622099748763</v>
      </c>
      <c r="AF14" s="4">
        <f t="shared" si="4"/>
        <v>6592430.138016207</v>
      </c>
      <c r="AG14" s="4">
        <f t="shared" si="5"/>
        <v>4200000</v>
      </c>
      <c r="AH14" s="4">
        <f t="shared" si="6"/>
        <v>4200000</v>
      </c>
      <c r="AI14" s="4">
        <f t="shared" si="7"/>
        <v>0</v>
      </c>
    </row>
    <row r="15" spans="1:35" ht="12.75">
      <c r="A15" s="16" t="s">
        <v>14</v>
      </c>
      <c r="B15" s="20">
        <v>35455664.8133268</v>
      </c>
      <c r="C15" s="28">
        <f>+C13</f>
        <v>0.5</v>
      </c>
      <c r="D15" s="29">
        <f>+D13</f>
        <v>0.0625</v>
      </c>
      <c r="E15" s="30">
        <f t="shared" si="0"/>
        <v>17727832.4066634</v>
      </c>
      <c r="F15" s="28">
        <v>0.4127887303793363</v>
      </c>
      <c r="G15" s="29">
        <v>0.0725</v>
      </c>
      <c r="H15" s="30">
        <v>14934210</v>
      </c>
      <c r="I15" s="36">
        <f t="shared" si="8"/>
        <v>0.0725</v>
      </c>
      <c r="J15" s="30">
        <f t="shared" si="8"/>
        <v>14934210</v>
      </c>
      <c r="K15" s="36">
        <v>0</v>
      </c>
      <c r="L15" s="30">
        <v>0</v>
      </c>
      <c r="AC15" s="9">
        <f t="shared" si="1"/>
        <v>3.837572868788785</v>
      </c>
      <c r="AD15" s="5">
        <f t="shared" si="3"/>
        <v>-0.044995053449659664</v>
      </c>
      <c r="AE15" s="5">
        <f t="shared" si="2"/>
        <v>0.040149283813732936</v>
      </c>
      <c r="AF15" s="4">
        <f t="shared" si="4"/>
        <v>1107989.5254164624</v>
      </c>
      <c r="AG15" s="4">
        <f t="shared" si="5"/>
        <v>1082730.2249999999</v>
      </c>
      <c r="AH15" s="4">
        <f t="shared" si="6"/>
        <v>1082730.2249999999</v>
      </c>
      <c r="AI15" s="4">
        <f t="shared" si="7"/>
        <v>0</v>
      </c>
    </row>
    <row r="16" spans="1:35" ht="12.75">
      <c r="A16" s="16" t="s">
        <v>15</v>
      </c>
      <c r="B16" s="20">
        <v>65338035.44495545</v>
      </c>
      <c r="C16" s="28">
        <f>+C15</f>
        <v>0.5</v>
      </c>
      <c r="D16" s="29">
        <f>+D15</f>
        <v>0.0625</v>
      </c>
      <c r="E16" s="30">
        <f t="shared" si="0"/>
        <v>32669017.722477727</v>
      </c>
      <c r="F16" s="28">
        <v>0.4912962639050394</v>
      </c>
      <c r="G16" s="29">
        <v>0.07062541228854284</v>
      </c>
      <c r="H16" s="30">
        <v>33315260</v>
      </c>
      <c r="I16" s="36">
        <v>0.0725</v>
      </c>
      <c r="J16" s="30">
        <v>25605090</v>
      </c>
      <c r="K16" s="36">
        <v>0.0644</v>
      </c>
      <c r="L16" s="30">
        <v>7710170</v>
      </c>
      <c r="AC16" s="9">
        <f t="shared" si="1"/>
        <v>3.7435619652591487</v>
      </c>
      <c r="AD16" s="5">
        <f t="shared" si="3"/>
        <v>-0.06839027771514865</v>
      </c>
      <c r="AE16" s="5">
        <f t="shared" si="2"/>
        <v>0.005754548285380686</v>
      </c>
      <c r="AF16" s="4">
        <f t="shared" si="4"/>
        <v>2041813.607654858</v>
      </c>
      <c r="AG16" s="4">
        <f t="shared" si="5"/>
        <v>2352903.9729999998</v>
      </c>
      <c r="AH16" s="4">
        <f t="shared" si="6"/>
        <v>1856369.025</v>
      </c>
      <c r="AI16" s="4">
        <f t="shared" si="7"/>
        <v>496534.948</v>
      </c>
    </row>
    <row r="17" spans="1:35" ht="12.75">
      <c r="A17" s="16" t="s">
        <v>16</v>
      </c>
      <c r="B17" s="20">
        <v>15420390.458235057</v>
      </c>
      <c r="C17" s="28">
        <f>+C16</f>
        <v>0.5</v>
      </c>
      <c r="D17" s="29">
        <f>+D16</f>
        <v>0.0625</v>
      </c>
      <c r="E17" s="30">
        <f t="shared" si="0"/>
        <v>7710195.229117529</v>
      </c>
      <c r="F17" s="28">
        <v>0.5538185172597951</v>
      </c>
      <c r="G17" s="29">
        <v>0.0577</v>
      </c>
      <c r="H17" s="30">
        <f>11407*1000</f>
        <v>11407000</v>
      </c>
      <c r="I17" s="36">
        <v>0</v>
      </c>
      <c r="J17" s="30">
        <v>0</v>
      </c>
      <c r="K17" s="36">
        <f>+G17</f>
        <v>0.0577</v>
      </c>
      <c r="L17" s="30">
        <v>8500000</v>
      </c>
      <c r="AC17" s="9">
        <f t="shared" si="1"/>
        <v>3.7920125874591784</v>
      </c>
      <c r="AD17" s="5">
        <f t="shared" si="3"/>
        <v>-0.05633302552828036</v>
      </c>
      <c r="AE17" s="5">
        <f t="shared" si="2"/>
        <v>-0.043484535937700255</v>
      </c>
      <c r="AF17" s="4">
        <f t="shared" si="4"/>
        <v>481887.20181984553</v>
      </c>
      <c r="AG17" s="4">
        <f t="shared" si="5"/>
        <v>658183.9</v>
      </c>
      <c r="AH17" s="4">
        <f t="shared" si="6"/>
        <v>0</v>
      </c>
      <c r="AI17" s="4">
        <f t="shared" si="7"/>
        <v>490450</v>
      </c>
    </row>
    <row r="18" spans="1:35" ht="12.75">
      <c r="A18" s="16" t="s">
        <v>18</v>
      </c>
      <c r="B18" s="20">
        <v>414567898.765821</v>
      </c>
      <c r="C18" s="28">
        <f>+C12</f>
        <v>0.6</v>
      </c>
      <c r="D18" s="29">
        <f>+D12</f>
        <v>0.059000000000000004</v>
      </c>
      <c r="E18" s="30">
        <f t="shared" si="0"/>
        <v>248740739.25949258</v>
      </c>
      <c r="F18" s="28">
        <v>0.5966353129129313</v>
      </c>
      <c r="G18" s="29">
        <v>0.061610587359078574</v>
      </c>
      <c r="H18" s="30">
        <v>246102487</v>
      </c>
      <c r="I18" s="36">
        <v>0.0558</v>
      </c>
      <c r="J18" s="30">
        <f>+H18-L18</f>
        <v>146102487</v>
      </c>
      <c r="K18" s="36">
        <v>0.0701</v>
      </c>
      <c r="L18" s="30">
        <v>100000000</v>
      </c>
      <c r="AC18" s="9">
        <f t="shared" si="1"/>
        <v>4.287675117867468</v>
      </c>
      <c r="AD18" s="5">
        <f t="shared" si="3"/>
        <v>0.06701581618608608</v>
      </c>
      <c r="AE18" s="5">
        <f t="shared" si="2"/>
        <v>0.016488957025633855</v>
      </c>
      <c r="AF18" s="4">
        <f t="shared" si="4"/>
        <v>14675703.616310064</v>
      </c>
      <c r="AG18" s="4">
        <f t="shared" si="5"/>
        <v>15162518.7746</v>
      </c>
      <c r="AH18" s="4">
        <f t="shared" si="6"/>
        <v>8152518.7746</v>
      </c>
      <c r="AI18" s="4">
        <f t="shared" si="7"/>
        <v>7010000</v>
      </c>
    </row>
    <row r="19" spans="1:35" ht="12.75">
      <c r="A19" s="16" t="s">
        <v>19</v>
      </c>
      <c r="B19" s="20">
        <v>5084626.428322355</v>
      </c>
      <c r="C19" s="28">
        <f>+C17</f>
        <v>0.5</v>
      </c>
      <c r="D19" s="29">
        <f>+D17</f>
        <v>0.0625</v>
      </c>
      <c r="E19" s="30">
        <f t="shared" si="0"/>
        <v>2542313.2141611776</v>
      </c>
      <c r="F19" s="28">
        <v>0.5110048704867015</v>
      </c>
      <c r="G19" s="29">
        <v>0.0725</v>
      </c>
      <c r="H19" s="30">
        <v>2826928</v>
      </c>
      <c r="I19" s="36">
        <f>+G19</f>
        <v>0.0725</v>
      </c>
      <c r="J19" s="30">
        <f>+H19</f>
        <v>2826928</v>
      </c>
      <c r="K19" s="36">
        <v>0</v>
      </c>
      <c r="L19" s="30">
        <v>0</v>
      </c>
      <c r="AC19" s="9">
        <f t="shared" si="1"/>
        <v>3.168725693511334</v>
      </c>
      <c r="AD19" s="5">
        <f t="shared" si="3"/>
        <v>-0.21144201946591448</v>
      </c>
      <c r="AE19" s="5">
        <f t="shared" si="2"/>
        <v>-0.14113741330773616</v>
      </c>
      <c r="AF19" s="4">
        <f t="shared" si="4"/>
        <v>158894.5758850736</v>
      </c>
      <c r="AG19" s="4">
        <f t="shared" si="5"/>
        <v>204952.28</v>
      </c>
      <c r="AH19" s="4">
        <f t="shared" si="6"/>
        <v>204952.28</v>
      </c>
      <c r="AI19" s="4">
        <f t="shared" si="7"/>
        <v>0</v>
      </c>
    </row>
    <row r="20" spans="1:35" ht="12.75">
      <c r="A20" s="16" t="s">
        <v>20</v>
      </c>
      <c r="B20" s="20">
        <v>3542427.44860777</v>
      </c>
      <c r="C20" s="28">
        <f>+C19</f>
        <v>0.5</v>
      </c>
      <c r="D20" s="29">
        <f>+D19</f>
        <v>0.0625</v>
      </c>
      <c r="E20" s="30">
        <f t="shared" si="0"/>
        <v>1771213.724303885</v>
      </c>
      <c r="F20" s="28">
        <v>0.5779933003826524</v>
      </c>
      <c r="G20" s="29">
        <v>0.06789658426552501</v>
      </c>
      <c r="H20" s="30">
        <v>2572821</v>
      </c>
      <c r="I20" s="36">
        <f>+G20</f>
        <v>0.06789658426552501</v>
      </c>
      <c r="J20" s="30">
        <f>+H20</f>
        <v>2572821</v>
      </c>
      <c r="K20" s="36">
        <v>0</v>
      </c>
      <c r="L20" s="30">
        <v>0</v>
      </c>
      <c r="AC20" s="9">
        <f t="shared" si="1"/>
        <v>2.914602163709227</v>
      </c>
      <c r="AD20" s="5">
        <f t="shared" si="3"/>
        <v>-0.2746823112580655</v>
      </c>
      <c r="AE20" s="5">
        <f t="shared" si="2"/>
        <v>-0.22705817039157536</v>
      </c>
      <c r="AF20" s="4">
        <f t="shared" si="4"/>
        <v>110700.8577689928</v>
      </c>
      <c r="AG20" s="4">
        <f t="shared" si="5"/>
        <v>174685.75782661233</v>
      </c>
      <c r="AH20" s="4">
        <f t="shared" si="6"/>
        <v>174685.75782661233</v>
      </c>
      <c r="AI20" s="4">
        <f t="shared" si="7"/>
        <v>0</v>
      </c>
    </row>
    <row r="21" spans="1:35" ht="12.75">
      <c r="A21" s="16" t="s">
        <v>21</v>
      </c>
      <c r="B21" s="20">
        <v>135819903.41349414</v>
      </c>
      <c r="C21" s="28">
        <f>+C14</f>
        <v>0.55</v>
      </c>
      <c r="D21" s="29">
        <f>+D14</f>
        <v>0.06</v>
      </c>
      <c r="E21" s="30">
        <f t="shared" si="0"/>
        <v>74700946.87742178</v>
      </c>
      <c r="F21" s="28">
        <v>0.6001247605181135</v>
      </c>
      <c r="G21" s="29">
        <v>0.07109537253821788</v>
      </c>
      <c r="H21" s="30">
        <v>97416449</v>
      </c>
      <c r="I21" s="36">
        <f>+G21</f>
        <v>0.07109537253821788</v>
      </c>
      <c r="J21" s="30">
        <v>58088000</v>
      </c>
      <c r="K21" s="36">
        <v>0</v>
      </c>
      <c r="L21" s="30">
        <v>0</v>
      </c>
      <c r="AC21" s="9">
        <f t="shared" si="1"/>
        <v>3.3569283893171904</v>
      </c>
      <c r="AD21" s="5">
        <f t="shared" si="3"/>
        <v>-0.16460655559485846</v>
      </c>
      <c r="AE21" s="5">
        <f t="shared" si="2"/>
        <v>-0.1258750010415937</v>
      </c>
      <c r="AF21" s="4">
        <f t="shared" si="4"/>
        <v>4482056.812645307</v>
      </c>
      <c r="AG21" s="4">
        <f t="shared" si="5"/>
        <v>6925858.733005302</v>
      </c>
      <c r="AH21" s="4">
        <f t="shared" si="6"/>
        <v>4129788</v>
      </c>
      <c r="AI21" s="4">
        <f t="shared" si="7"/>
        <v>0</v>
      </c>
    </row>
    <row r="22" spans="1:35" ht="12.75">
      <c r="A22" s="16" t="s">
        <v>22</v>
      </c>
      <c r="B22" s="20">
        <v>60597800.82305147</v>
      </c>
      <c r="C22" s="28">
        <f>+C19</f>
        <v>0.5</v>
      </c>
      <c r="D22" s="29">
        <f>+D19</f>
        <v>0.0625</v>
      </c>
      <c r="E22" s="30">
        <f t="shared" si="0"/>
        <v>30298900.411525734</v>
      </c>
      <c r="F22" s="28">
        <v>0.4771523085139987</v>
      </c>
      <c r="G22" s="29">
        <v>0.07542552082998828</v>
      </c>
      <c r="H22" s="30">
        <v>28337942</v>
      </c>
      <c r="I22" s="36">
        <f>+G22</f>
        <v>0.07542552082998828</v>
      </c>
      <c r="J22" s="30">
        <f>+H22</f>
        <v>28337942</v>
      </c>
      <c r="K22" s="36">
        <v>0</v>
      </c>
      <c r="L22" s="30">
        <v>0</v>
      </c>
      <c r="AC22" s="9">
        <f t="shared" si="1"/>
        <v>3.6612098496178196</v>
      </c>
      <c r="AD22" s="5">
        <f t="shared" si="3"/>
        <v>-0.0888841368509564</v>
      </c>
      <c r="AE22" s="5">
        <f t="shared" si="2"/>
        <v>-0.015345444742591956</v>
      </c>
      <c r="AF22" s="4">
        <f t="shared" si="4"/>
        <v>1893681.2757203584</v>
      </c>
      <c r="AG22" s="4">
        <f t="shared" si="5"/>
        <v>2137404.0346</v>
      </c>
      <c r="AH22" s="4">
        <f t="shared" si="6"/>
        <v>2137404.0346</v>
      </c>
      <c r="AI22" s="4">
        <f t="shared" si="7"/>
        <v>0</v>
      </c>
    </row>
    <row r="23" spans="1:12" ht="12.75">
      <c r="A23" s="16"/>
      <c r="B23" s="20"/>
      <c r="C23" s="28"/>
      <c r="D23" s="29"/>
      <c r="E23" s="30"/>
      <c r="F23" s="28"/>
      <c r="G23" s="29"/>
      <c r="H23" s="30"/>
      <c r="I23" s="36"/>
      <c r="J23" s="30"/>
      <c r="K23" s="36"/>
      <c r="L23" s="30"/>
    </row>
    <row r="24" spans="1:35" ht="12.75">
      <c r="A24" s="17" t="s">
        <v>25</v>
      </c>
      <c r="B24" s="21">
        <f>SUM(B8:B22)</f>
        <v>2032710747.2021015</v>
      </c>
      <c r="C24" s="31">
        <f>+E24/B24</f>
        <v>0.5720269520371074</v>
      </c>
      <c r="D24" s="32">
        <f>+AF24/E24</f>
        <v>0.05972620123185759</v>
      </c>
      <c r="E24" s="33">
        <f>SUM(E8:E22)</f>
        <v>1162765333.0950892</v>
      </c>
      <c r="F24" s="31">
        <f>+H24/B24</f>
        <v>0.5760715058016934</v>
      </c>
      <c r="G24" s="32">
        <f>+AG24/H24</f>
        <v>0.0664717909974688</v>
      </c>
      <c r="H24" s="33">
        <f>SUM(H8:H22)</f>
        <v>1170986741</v>
      </c>
      <c r="I24" s="37">
        <f>+AH24/J24</f>
        <v>0.06555736223061094</v>
      </c>
      <c r="J24" s="33">
        <f>SUM(J8:J22)</f>
        <v>859016881</v>
      </c>
      <c r="K24" s="37">
        <f>+AI24/L24</f>
        <v>0.06875144773885106</v>
      </c>
      <c r="L24" s="33">
        <f>SUM(L8:L22)</f>
        <v>156976170</v>
      </c>
      <c r="AC24" s="9">
        <f>+B24/M46</f>
        <v>4.018380095988852</v>
      </c>
      <c r="AD24" s="9"/>
      <c r="AE24" s="9"/>
      <c r="AF24" s="4">
        <f>SUM(AF8:AF22)</f>
        <v>69447556.26986521</v>
      </c>
      <c r="AG24" s="4">
        <f>SUM(AG8:AG22)</f>
        <v>77837585.90855913</v>
      </c>
      <c r="AH24" s="4">
        <f>SUM(AH8:AH22)</f>
        <v>56314880.82992661</v>
      </c>
      <c r="AI24" s="4">
        <f>SUM(AI8:AI22)</f>
        <v>10792338.947999999</v>
      </c>
    </row>
    <row r="27" spans="1:14" ht="12.75">
      <c r="A27" s="14" t="s">
        <v>0</v>
      </c>
      <c r="B27" s="34" t="s">
        <v>38</v>
      </c>
      <c r="C27" s="40"/>
      <c r="D27" s="40"/>
      <c r="E27" s="40"/>
      <c r="F27" s="40"/>
      <c r="G27" s="40"/>
      <c r="H27" s="24"/>
      <c r="I27" s="46" t="s">
        <v>39</v>
      </c>
      <c r="J27" s="40"/>
      <c r="K27" s="40"/>
      <c r="L27" s="24"/>
      <c r="M27" s="46" t="s">
        <v>5</v>
      </c>
      <c r="N27" s="48"/>
    </row>
    <row r="28" spans="1:14" ht="34.5">
      <c r="A28" s="15"/>
      <c r="B28" s="35" t="s">
        <v>45</v>
      </c>
      <c r="C28" s="41" t="s">
        <v>28</v>
      </c>
      <c r="D28" s="41" t="s">
        <v>29</v>
      </c>
      <c r="E28" s="41" t="s">
        <v>30</v>
      </c>
      <c r="F28" s="41" t="s">
        <v>31</v>
      </c>
      <c r="G28" s="41" t="s">
        <v>32</v>
      </c>
      <c r="H28" s="27" t="s">
        <v>37</v>
      </c>
      <c r="I28" s="35" t="s">
        <v>44</v>
      </c>
      <c r="J28" s="41" t="s">
        <v>23</v>
      </c>
      <c r="K28" s="41" t="s">
        <v>24</v>
      </c>
      <c r="L28" s="27" t="s">
        <v>37</v>
      </c>
      <c r="M28" s="49" t="s">
        <v>42</v>
      </c>
      <c r="N28" s="50" t="s">
        <v>17</v>
      </c>
    </row>
    <row r="29" spans="1:14" ht="12.75">
      <c r="A29" s="16"/>
      <c r="B29" s="36"/>
      <c r="C29" s="42"/>
      <c r="D29" s="42"/>
      <c r="E29" s="42"/>
      <c r="F29" s="42"/>
      <c r="G29" s="42"/>
      <c r="H29" s="30"/>
      <c r="I29" s="47"/>
      <c r="J29" s="42"/>
      <c r="K29" s="42"/>
      <c r="L29" s="30"/>
      <c r="M29" s="47"/>
      <c r="N29" s="43"/>
    </row>
    <row r="30" spans="1:14" ht="12.75">
      <c r="A30" s="16" t="s">
        <v>6</v>
      </c>
      <c r="B30" s="36">
        <v>0.07848055555555555</v>
      </c>
      <c r="C30" s="42">
        <v>10045748.30705633</v>
      </c>
      <c r="D30" s="42">
        <f aca="true" t="shared" si="9" ref="D30:D44">+G8*E8</f>
        <v>4861625.90175844</v>
      </c>
      <c r="E30" s="42">
        <f aca="true" t="shared" si="10" ref="E30:E44">+C30-D30</f>
        <v>5184122.40529789</v>
      </c>
      <c r="F30" s="42">
        <f aca="true" t="shared" si="11" ref="F30:F44">+E30/(1-0.3612)-E30</f>
        <v>2931285.2423193455</v>
      </c>
      <c r="G30" s="42">
        <f aca="true" t="shared" si="12" ref="G30:G44">+C30+F30</f>
        <v>12977033.549375676</v>
      </c>
      <c r="H30" s="43">
        <f aca="true" t="shared" si="13" ref="H30:H44">+G30/B8</f>
        <v>0.10138068079037083</v>
      </c>
      <c r="I30" s="36">
        <f aca="true" t="shared" si="14" ref="I30:I44">+(C8*D8)+((1-C8)*0.09)</f>
        <v>0.0735</v>
      </c>
      <c r="J30" s="42">
        <f aca="true" t="shared" si="15" ref="J30:J44">+((E8*D8)+((B8-E8)*0.09)/0.6388)</f>
        <v>12339507.385267368</v>
      </c>
      <c r="K30" s="42">
        <f>+J30-G30</f>
        <v>-637526.164108308</v>
      </c>
      <c r="L30" s="43">
        <f aca="true" t="shared" si="16" ref="L30:L44">+J30/B8</f>
        <v>0.09640012523481527</v>
      </c>
      <c r="M30" s="47">
        <v>28130310.974722996</v>
      </c>
      <c r="N30" s="43">
        <f aca="true" t="shared" si="17" ref="N30:N44">+G30/M30</f>
        <v>0.4613185243858991</v>
      </c>
    </row>
    <row r="31" spans="1:14" ht="12.75">
      <c r="A31" s="16" t="s">
        <v>8</v>
      </c>
      <c r="B31" s="36">
        <v>0.0802</v>
      </c>
      <c r="C31" s="42">
        <v>4097830.773790148</v>
      </c>
      <c r="D31" s="42">
        <f t="shared" si="9"/>
        <v>1798549.1675487934</v>
      </c>
      <c r="E31" s="42">
        <f t="shared" si="10"/>
        <v>2299281.6062413547</v>
      </c>
      <c r="F31" s="42">
        <f t="shared" si="11"/>
        <v>1300094.7341489936</v>
      </c>
      <c r="G31" s="42">
        <f t="shared" si="12"/>
        <v>5397925.507939141</v>
      </c>
      <c r="H31" s="43">
        <f t="shared" si="13"/>
        <v>0.10564458359423917</v>
      </c>
      <c r="I31" s="36">
        <f t="shared" si="14"/>
        <v>0.07625</v>
      </c>
      <c r="J31" s="42">
        <f t="shared" si="15"/>
        <v>5196099.678057957</v>
      </c>
      <c r="K31" s="42">
        <f aca="true" t="shared" si="18" ref="K31:K40">+J31-G31</f>
        <v>-201825.8298811838</v>
      </c>
      <c r="L31" s="43">
        <f t="shared" si="16"/>
        <v>0.1016945835942392</v>
      </c>
      <c r="M31" s="47">
        <v>13505225.162790146</v>
      </c>
      <c r="N31" s="43">
        <f t="shared" si="17"/>
        <v>0.3996916336361136</v>
      </c>
    </row>
    <row r="32" spans="1:14" ht="12.75">
      <c r="A32" s="16" t="s">
        <v>9</v>
      </c>
      <c r="B32" s="36">
        <v>0.07464</v>
      </c>
      <c r="C32" s="42">
        <v>36080559.60795495</v>
      </c>
      <c r="D32" s="42">
        <f t="shared" si="9"/>
        <v>18678360.44013102</v>
      </c>
      <c r="E32" s="42">
        <f t="shared" si="10"/>
        <v>17402199.16782393</v>
      </c>
      <c r="F32" s="42">
        <f t="shared" si="11"/>
        <v>9839815.809984349</v>
      </c>
      <c r="G32" s="42">
        <f t="shared" si="12"/>
        <v>45920375.4179393</v>
      </c>
      <c r="H32" s="43">
        <f t="shared" si="13"/>
        <v>0.09499566687539134</v>
      </c>
      <c r="I32" s="36">
        <f t="shared" si="14"/>
        <v>0.07139999999999999</v>
      </c>
      <c r="J32" s="42">
        <f t="shared" si="15"/>
        <v>44354177.49283515</v>
      </c>
      <c r="K32" s="42">
        <f t="shared" si="18"/>
        <v>-1566197.9251041487</v>
      </c>
      <c r="L32" s="43">
        <f t="shared" si="16"/>
        <v>0.09175566687539136</v>
      </c>
      <c r="M32" s="47">
        <v>111088943.76053551</v>
      </c>
      <c r="N32" s="43">
        <f t="shared" si="17"/>
        <v>0.41336584779242963</v>
      </c>
    </row>
    <row r="33" spans="1:14" ht="12.75">
      <c r="A33" s="16" t="s">
        <v>10</v>
      </c>
      <c r="B33" s="36">
        <v>0.08125</v>
      </c>
      <c r="C33" s="42">
        <v>5865142.938425346</v>
      </c>
      <c r="D33" s="42">
        <f t="shared" si="9"/>
        <v>2616756.0802205396</v>
      </c>
      <c r="E33" s="42">
        <f t="shared" si="10"/>
        <v>3248386.8582048067</v>
      </c>
      <c r="F33" s="42">
        <f t="shared" si="11"/>
        <v>1836752.2435560054</v>
      </c>
      <c r="G33" s="42">
        <f t="shared" si="12"/>
        <v>7701895.181981351</v>
      </c>
      <c r="H33" s="43">
        <f t="shared" si="13"/>
        <v>0.10669458359423917</v>
      </c>
      <c r="I33" s="36">
        <f t="shared" si="14"/>
        <v>0.07625</v>
      </c>
      <c r="J33" s="42">
        <f t="shared" si="15"/>
        <v>7340963.308847485</v>
      </c>
      <c r="K33" s="42">
        <f t="shared" si="18"/>
        <v>-360931.8731338661</v>
      </c>
      <c r="L33" s="43">
        <f t="shared" si="16"/>
        <v>0.10169458359423919</v>
      </c>
      <c r="M33" s="47">
        <v>20705665.70175868</v>
      </c>
      <c r="N33" s="43">
        <f t="shared" si="17"/>
        <v>0.3719704207011888</v>
      </c>
    </row>
    <row r="34" spans="1:14" ht="12.75">
      <c r="A34" s="16" t="s">
        <v>11</v>
      </c>
      <c r="B34" s="36">
        <v>0.07792820909794634</v>
      </c>
      <c r="C34" s="42">
        <v>26054556.927050073</v>
      </c>
      <c r="D34" s="42">
        <f t="shared" si="9"/>
        <v>14018298.680759635</v>
      </c>
      <c r="E34" s="42">
        <f t="shared" si="10"/>
        <v>12036258.246290438</v>
      </c>
      <c r="F34" s="42">
        <f t="shared" si="11"/>
        <v>6805723.980213065</v>
      </c>
      <c r="G34" s="42">
        <f t="shared" si="12"/>
        <v>32860280.907263137</v>
      </c>
      <c r="H34" s="43">
        <f t="shared" si="13"/>
        <v>0.09828387597333768</v>
      </c>
      <c r="I34" s="36">
        <f t="shared" si="14"/>
        <v>0.07139999999999999</v>
      </c>
      <c r="J34" s="42">
        <f t="shared" si="15"/>
        <v>30677636.168689113</v>
      </c>
      <c r="K34" s="42">
        <f t="shared" si="18"/>
        <v>-2182644.7385740243</v>
      </c>
      <c r="L34" s="43">
        <f t="shared" si="16"/>
        <v>0.09175566687539136</v>
      </c>
      <c r="M34" s="47">
        <v>84961902.91319108</v>
      </c>
      <c r="N34" s="43">
        <f t="shared" si="17"/>
        <v>0.38676488850347174</v>
      </c>
    </row>
    <row r="35" spans="1:14" ht="12.75">
      <c r="A35" s="16" t="s">
        <v>12</v>
      </c>
      <c r="B35" s="36">
        <v>0.07786587092170998</v>
      </c>
      <c r="C35" s="42">
        <v>2187557.3466043263</v>
      </c>
      <c r="D35" s="42">
        <f t="shared" si="9"/>
        <v>1018404.5060529502</v>
      </c>
      <c r="E35" s="42">
        <f t="shared" si="10"/>
        <v>1169152.840551376</v>
      </c>
      <c r="F35" s="42">
        <f t="shared" si="11"/>
        <v>661080.1596855933</v>
      </c>
      <c r="G35" s="42">
        <f t="shared" si="12"/>
        <v>2848637.50628992</v>
      </c>
      <c r="H35" s="43">
        <f t="shared" si="13"/>
        <v>0.10139694884425482</v>
      </c>
      <c r="I35" s="36">
        <f t="shared" si="14"/>
        <v>0.07625</v>
      </c>
      <c r="J35" s="42">
        <f t="shared" si="15"/>
        <v>2856999.2323738374</v>
      </c>
      <c r="K35" s="42">
        <f t="shared" si="18"/>
        <v>8361.726083917543</v>
      </c>
      <c r="L35" s="43">
        <f t="shared" si="16"/>
        <v>0.10169458359423918</v>
      </c>
      <c r="M35" s="47">
        <v>9802644.247604325</v>
      </c>
      <c r="N35" s="43">
        <f t="shared" si="17"/>
        <v>0.29059888682445045</v>
      </c>
    </row>
    <row r="36" spans="1:14" ht="12.75">
      <c r="A36" s="16" t="s">
        <v>13</v>
      </c>
      <c r="B36" s="36">
        <v>0.07350000000000001</v>
      </c>
      <c r="C36" s="42">
        <v>14683139.852854282</v>
      </c>
      <c r="D36" s="42">
        <f t="shared" si="9"/>
        <v>6592430.138016207</v>
      </c>
      <c r="E36" s="42">
        <f t="shared" si="10"/>
        <v>8090709.7148380745</v>
      </c>
      <c r="F36" s="42">
        <f t="shared" si="11"/>
        <v>4574771.992798233</v>
      </c>
      <c r="G36" s="42">
        <f t="shared" si="12"/>
        <v>19257911.845652513</v>
      </c>
      <c r="H36" s="43">
        <f t="shared" si="13"/>
        <v>0.09640012523481528</v>
      </c>
      <c r="I36" s="36">
        <f t="shared" si="14"/>
        <v>0.0735</v>
      </c>
      <c r="J36" s="42">
        <f t="shared" si="15"/>
        <v>19257911.845652513</v>
      </c>
      <c r="K36" s="42">
        <f t="shared" si="18"/>
        <v>0</v>
      </c>
      <c r="L36" s="43">
        <f t="shared" si="16"/>
        <v>0.09640012523481528</v>
      </c>
      <c r="M36" s="47">
        <v>50380325.44385428</v>
      </c>
      <c r="N36" s="43">
        <f t="shared" si="17"/>
        <v>0.38225064399622133</v>
      </c>
    </row>
    <row r="37" spans="1:14" ht="12.75">
      <c r="A37" s="16" t="s">
        <v>14</v>
      </c>
      <c r="B37" s="36">
        <v>0.08125</v>
      </c>
      <c r="C37" s="42">
        <v>2880772.766082802</v>
      </c>
      <c r="D37" s="42">
        <f t="shared" si="9"/>
        <v>1285267.8494830963</v>
      </c>
      <c r="E37" s="42">
        <f t="shared" si="10"/>
        <v>1595504.9165997056</v>
      </c>
      <c r="F37" s="42">
        <f t="shared" si="11"/>
        <v>902154.6272320186</v>
      </c>
      <c r="G37" s="42">
        <f t="shared" si="12"/>
        <v>3782927.3933148207</v>
      </c>
      <c r="H37" s="43">
        <f t="shared" si="13"/>
        <v>0.10669458359423918</v>
      </c>
      <c r="I37" s="36">
        <f t="shared" si="14"/>
        <v>0.07625</v>
      </c>
      <c r="J37" s="42">
        <f t="shared" si="15"/>
        <v>3605649.0692481874</v>
      </c>
      <c r="K37" s="42">
        <f t="shared" si="18"/>
        <v>-177278.32406663336</v>
      </c>
      <c r="L37" s="43">
        <f t="shared" si="16"/>
        <v>0.10169458359423919</v>
      </c>
      <c r="M37" s="47">
        <v>9239085.751749469</v>
      </c>
      <c r="N37" s="43">
        <f t="shared" si="17"/>
        <v>0.4094482392479693</v>
      </c>
    </row>
    <row r="38" spans="1:14" ht="12.75">
      <c r="A38" s="16" t="s">
        <v>15</v>
      </c>
      <c r="B38" s="36">
        <v>0.08031270614427141</v>
      </c>
      <c r="C38" s="42">
        <v>5247474.4407346975</v>
      </c>
      <c r="D38" s="42">
        <f t="shared" si="9"/>
        <v>2307262.8457117025</v>
      </c>
      <c r="E38" s="42">
        <f t="shared" si="10"/>
        <v>2940211.595022995</v>
      </c>
      <c r="F38" s="42">
        <f t="shared" si="11"/>
        <v>1662499.1047625327</v>
      </c>
      <c r="G38" s="42">
        <f t="shared" si="12"/>
        <v>6909973.54549723</v>
      </c>
      <c r="H38" s="43">
        <f t="shared" si="13"/>
        <v>0.10575728973851062</v>
      </c>
      <c r="I38" s="36">
        <f t="shared" si="14"/>
        <v>0.07625</v>
      </c>
      <c r="J38" s="42">
        <f t="shared" si="15"/>
        <v>6644524.307440385</v>
      </c>
      <c r="K38" s="42">
        <f t="shared" si="18"/>
        <v>-265449.23805684503</v>
      </c>
      <c r="L38" s="43">
        <f t="shared" si="16"/>
        <v>0.10169458359423919</v>
      </c>
      <c r="M38" s="47">
        <v>17453440.346734695</v>
      </c>
      <c r="N38" s="43">
        <f t="shared" si="17"/>
        <v>0.39590896741398</v>
      </c>
    </row>
    <row r="39" spans="1:14" ht="12.75">
      <c r="A39" s="16" t="s">
        <v>16</v>
      </c>
      <c r="B39" s="36">
        <v>0.07385</v>
      </c>
      <c r="C39" s="42">
        <v>1138795.835340659</v>
      </c>
      <c r="D39" s="42">
        <f t="shared" si="9"/>
        <v>444878.2647200814</v>
      </c>
      <c r="E39" s="42">
        <f t="shared" si="10"/>
        <v>693917.5706205775</v>
      </c>
      <c r="F39" s="42">
        <f t="shared" si="11"/>
        <v>392365.4140703704</v>
      </c>
      <c r="G39" s="42">
        <f t="shared" si="12"/>
        <v>1531161.2494110293</v>
      </c>
      <c r="H39" s="43">
        <f t="shared" si="13"/>
        <v>0.09929458359423919</v>
      </c>
      <c r="I39" s="36">
        <f t="shared" si="14"/>
        <v>0.07625</v>
      </c>
      <c r="J39" s="42">
        <f t="shared" si="15"/>
        <v>1568170.1865107934</v>
      </c>
      <c r="K39" s="42">
        <f t="shared" si="18"/>
        <v>37008.93709976412</v>
      </c>
      <c r="L39" s="43">
        <f t="shared" si="16"/>
        <v>0.10169458359423919</v>
      </c>
      <c r="M39" s="47">
        <v>4066545.166340659</v>
      </c>
      <c r="N39" s="43">
        <f t="shared" si="17"/>
        <v>0.3765263108558726</v>
      </c>
    </row>
    <row r="40" spans="1:14" ht="12.75">
      <c r="A40" s="16" t="s">
        <v>18</v>
      </c>
      <c r="B40" s="36">
        <v>0.07296635241544713</v>
      </c>
      <c r="C40" s="42">
        <v>30249507.401478305</v>
      </c>
      <c r="D40" s="42">
        <f t="shared" si="9"/>
        <v>15325063.045908753</v>
      </c>
      <c r="E40" s="42">
        <f t="shared" si="10"/>
        <v>14924444.355569553</v>
      </c>
      <c r="F40" s="42">
        <f t="shared" si="11"/>
        <v>8438806.044508018</v>
      </c>
      <c r="G40" s="42">
        <f t="shared" si="12"/>
        <v>38688313.44598632</v>
      </c>
      <c r="H40" s="43">
        <f t="shared" si="13"/>
        <v>0.09332201929083848</v>
      </c>
      <c r="I40" s="36">
        <f t="shared" si="14"/>
        <v>0.07139999999999999</v>
      </c>
      <c r="J40" s="42">
        <f t="shared" si="15"/>
        <v>38038954.01638764</v>
      </c>
      <c r="K40" s="42">
        <f t="shared" si="18"/>
        <v>-649359.4295986816</v>
      </c>
      <c r="L40" s="43">
        <f t="shared" si="16"/>
        <v>0.09175566687539137</v>
      </c>
      <c r="M40" s="47">
        <v>96688272.16834745</v>
      </c>
      <c r="N40" s="43">
        <f t="shared" si="17"/>
        <v>0.40013450006247603</v>
      </c>
    </row>
    <row r="41" spans="1:14" ht="12.75">
      <c r="A41" s="16" t="s">
        <v>19</v>
      </c>
      <c r="B41" s="36">
        <v>0.08125</v>
      </c>
      <c r="C41" s="42">
        <v>413125.8973011913</v>
      </c>
      <c r="D41" s="42">
        <f t="shared" si="9"/>
        <v>184317.70802668537</v>
      </c>
      <c r="E41" s="42">
        <f t="shared" si="10"/>
        <v>228808.18927450592</v>
      </c>
      <c r="F41" s="42">
        <f t="shared" si="11"/>
        <v>129376.202200926</v>
      </c>
      <c r="G41" s="42">
        <f t="shared" si="12"/>
        <v>542502.0995021173</v>
      </c>
      <c r="H41" s="43">
        <f t="shared" si="13"/>
        <v>0.10669458359423917</v>
      </c>
      <c r="I41" s="36">
        <f t="shared" si="14"/>
        <v>0.07625</v>
      </c>
      <c r="J41" s="42">
        <f t="shared" si="15"/>
        <v>517078.9673605056</v>
      </c>
      <c r="K41" s="42">
        <f>+J41-G41</f>
        <v>-25423.132141611655</v>
      </c>
      <c r="L41" s="43">
        <f t="shared" si="16"/>
        <v>0.10169458359423919</v>
      </c>
      <c r="M41" s="47">
        <v>1604628.143967858</v>
      </c>
      <c r="N41" s="43">
        <f t="shared" si="17"/>
        <v>0.3380858683935585</v>
      </c>
    </row>
    <row r="42" spans="1:14" ht="12.75">
      <c r="A42" s="16" t="s">
        <v>20</v>
      </c>
      <c r="B42" s="36">
        <v>0.0789482921327625</v>
      </c>
      <c r="C42" s="42">
        <v>279668.5970718027</v>
      </c>
      <c r="D42" s="42">
        <f t="shared" si="9"/>
        <v>120259.36188445312</v>
      </c>
      <c r="E42" s="42">
        <f t="shared" si="10"/>
        <v>159409.2351873496</v>
      </c>
      <c r="F42" s="42">
        <f t="shared" si="11"/>
        <v>90135.59134262786</v>
      </c>
      <c r="G42" s="42">
        <f t="shared" si="12"/>
        <v>369804.1884144306</v>
      </c>
      <c r="H42" s="43">
        <f t="shared" si="13"/>
        <v>0.10439287572700169</v>
      </c>
      <c r="I42" s="36">
        <f t="shared" si="14"/>
        <v>0.07625</v>
      </c>
      <c r="J42" s="42">
        <f t="shared" si="15"/>
        <v>360245.6842989703</v>
      </c>
      <c r="K42" s="42">
        <f>+J42-G42</f>
        <v>-9558.504115460324</v>
      </c>
      <c r="L42" s="43">
        <f t="shared" si="16"/>
        <v>0.10169458359423918</v>
      </c>
      <c r="M42" s="47">
        <v>1215406.8547384697</v>
      </c>
      <c r="N42" s="43">
        <f t="shared" si="17"/>
        <v>0.30426370146974757</v>
      </c>
    </row>
    <row r="43" spans="1:14" ht="12.75">
      <c r="A43" s="16" t="s">
        <v>21</v>
      </c>
      <c r="B43" s="36">
        <v>0.07960245489601983</v>
      </c>
      <c r="C43" s="42">
        <v>10811597.735454436</v>
      </c>
      <c r="D43" s="42">
        <f t="shared" si="9"/>
        <v>5310891.647207925</v>
      </c>
      <c r="E43" s="42">
        <f t="shared" si="10"/>
        <v>5500706.088246511</v>
      </c>
      <c r="F43" s="42">
        <f t="shared" si="11"/>
        <v>3110292.797549529</v>
      </c>
      <c r="G43" s="42">
        <f t="shared" si="12"/>
        <v>13921890.533003965</v>
      </c>
      <c r="H43" s="43">
        <f t="shared" si="13"/>
        <v>0.10250258013083509</v>
      </c>
      <c r="I43" s="36">
        <f t="shared" si="14"/>
        <v>0.0735</v>
      </c>
      <c r="J43" s="42">
        <f t="shared" si="15"/>
        <v>13093055.698441349</v>
      </c>
      <c r="K43" s="42">
        <f>+J43-G43</f>
        <v>-828834.8345626164</v>
      </c>
      <c r="L43" s="43">
        <f t="shared" si="16"/>
        <v>0.09640012523481527</v>
      </c>
      <c r="M43" s="47">
        <v>40459577.22712111</v>
      </c>
      <c r="N43" s="43">
        <f t="shared" si="17"/>
        <v>0.34409382121946047</v>
      </c>
    </row>
    <row r="44" spans="1:14" ht="12.75">
      <c r="A44" s="16" t="s">
        <v>22</v>
      </c>
      <c r="B44" s="36">
        <v>0.08125</v>
      </c>
      <c r="C44" s="42">
        <v>4923571.316872931</v>
      </c>
      <c r="D44" s="42">
        <f t="shared" si="9"/>
        <v>2285310.344115275</v>
      </c>
      <c r="E44" s="42">
        <f t="shared" si="10"/>
        <v>2638260.972757656</v>
      </c>
      <c r="F44" s="42">
        <f t="shared" si="11"/>
        <v>1491765.5969944666</v>
      </c>
      <c r="G44" s="42">
        <f t="shared" si="12"/>
        <v>6415336.913867397</v>
      </c>
      <c r="H44" s="43">
        <f t="shared" si="13"/>
        <v>0.10586748737962445</v>
      </c>
      <c r="I44" s="36">
        <f t="shared" si="14"/>
        <v>0.07625</v>
      </c>
      <c r="J44" s="42">
        <f t="shared" si="15"/>
        <v>6162468.121426864</v>
      </c>
      <c r="K44" s="42">
        <f>+J44-G44</f>
        <v>-252868.79244053364</v>
      </c>
      <c r="L44" s="43">
        <f t="shared" si="16"/>
        <v>0.10169458359423919</v>
      </c>
      <c r="M44" s="47">
        <v>16551304.981706265</v>
      </c>
      <c r="N44" s="43">
        <f t="shared" si="17"/>
        <v>0.38760308754857126</v>
      </c>
    </row>
    <row r="45" spans="1:14" ht="12.75">
      <c r="A45" s="16"/>
      <c r="B45" s="36"/>
      <c r="C45" s="42"/>
      <c r="D45" s="42"/>
      <c r="E45" s="42"/>
      <c r="F45" s="42"/>
      <c r="G45" s="42"/>
      <c r="H45" s="30"/>
      <c r="I45" s="47"/>
      <c r="J45" s="42"/>
      <c r="K45" s="42"/>
      <c r="L45" s="30"/>
      <c r="M45" s="47"/>
      <c r="N45" s="43"/>
    </row>
    <row r="46" spans="1:14" ht="12.75">
      <c r="A46" s="17" t="s">
        <v>25</v>
      </c>
      <c r="B46" s="37">
        <f>+C46/B24</f>
        <v>0.07623271041261707</v>
      </c>
      <c r="C46" s="44">
        <f>SUM(C30:C44)</f>
        <v>154959049.7440723</v>
      </c>
      <c r="D46" s="44">
        <f>SUM(D30:D44)</f>
        <v>76847675.98154557</v>
      </c>
      <c r="E46" s="44">
        <f>SUM(E30:E44)</f>
        <v>78111373.7625267</v>
      </c>
      <c r="F46" s="44">
        <f>SUM(F30:F44)</f>
        <v>44166919.54136608</v>
      </c>
      <c r="G46" s="44">
        <f>SUM(G30:G44)</f>
        <v>199125969.2854383</v>
      </c>
      <c r="H46" s="45">
        <f>+G46/B24</f>
        <v>0.09796079917397135</v>
      </c>
      <c r="I46" s="37">
        <f>+J46/G46*B46</f>
        <v>0.07350977428019052</v>
      </c>
      <c r="J46" s="44">
        <f>SUM(J30:J44)</f>
        <v>192013441.16283807</v>
      </c>
      <c r="K46" s="44">
        <f>SUM(K30:K44)</f>
        <v>-7112528.122600231</v>
      </c>
      <c r="L46" s="45">
        <f>+J46/B24</f>
        <v>0.09446176315402105</v>
      </c>
      <c r="M46" s="51">
        <f>SUM(M30:M44)</f>
        <v>505853278.845163</v>
      </c>
      <c r="N46" s="45">
        <f>+G46/M46</f>
        <v>0.3936437255878476</v>
      </c>
    </row>
  </sheetData>
  <printOptions/>
  <pageMargins left="0.75" right="0.75" top="1.45" bottom="1" header="0.5" footer="0.5"/>
  <pageSetup fitToHeight="1" fitToWidth="1" horizontalDpi="300" verticalDpi="300" orientation="landscape" scale="61" r:id="rId1"/>
  <ignoredErrors>
    <ignoredError sqref="C14:D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Shepherd</dc:creator>
  <cp:keywords/>
  <dc:description/>
  <cp:lastModifiedBy>Jay Shepherd</cp:lastModifiedBy>
  <cp:lastPrinted>2006-08-14T19:24:37Z</cp:lastPrinted>
  <dcterms:created xsi:type="dcterms:W3CDTF">2006-08-13T21:49:35Z</dcterms:created>
  <dcterms:modified xsi:type="dcterms:W3CDTF">2006-08-14T19:26:33Z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