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financial pro forma" sheetId="1" r:id="rId1"/>
  </sheets>
  <definedNames>
    <definedName name="amortization_new">'financial pro forma'!$B$13</definedName>
    <definedName name="amortization_old">'financial pro forma'!$B$12</definedName>
    <definedName name="capex">'financial pro forma'!$B$9</definedName>
    <definedName name="Inflation">'financial pro forma'!$B$4</definedName>
    <definedName name="interest_rate">'financial pro forma'!$B$10</definedName>
    <definedName name="K_factor">'financial pro forma'!#REF!</definedName>
    <definedName name="leverage">'financial pro forma'!$B$11</definedName>
    <definedName name="OMACostredux">'financial pro forma'!$B$7</definedName>
    <definedName name="Taxrate">'financial pro forma'!$B$8</definedName>
    <definedName name="VolumeGrowth">'financial pro forma'!$B$6</definedName>
    <definedName name="WACC">'financial pro forma'!$B$3</definedName>
    <definedName name="X_factor">'financial pro forma'!$B$5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Julia Frayer</author>
  </authors>
  <commentList>
    <comment ref="C19" authorId="0">
      <text>
        <r>
          <rPr>
            <b/>
            <sz val="8"/>
            <rFont val="Tahoma"/>
            <family val="0"/>
          </rPr>
          <t>Julia Frayer:</t>
        </r>
        <r>
          <rPr>
            <sz val="8"/>
            <rFont val="Tahoma"/>
            <family val="0"/>
          </rPr>
          <t xml:space="preserve">
starting value assumption</t>
        </r>
      </text>
    </comment>
    <comment ref="D19" authorId="0">
      <text>
        <r>
          <rPr>
            <b/>
            <sz val="8"/>
            <rFont val="Tahoma"/>
            <family val="0"/>
          </rPr>
          <t>Julia Frayer:</t>
        </r>
        <r>
          <rPr>
            <sz val="8"/>
            <rFont val="Tahoma"/>
            <family val="0"/>
          </rPr>
          <t xml:space="preserve">
starting value assumption</t>
        </r>
      </text>
    </comment>
    <comment ref="E19" authorId="0">
      <text>
        <r>
          <rPr>
            <b/>
            <sz val="8"/>
            <rFont val="Tahoma"/>
            <family val="0"/>
          </rPr>
          <t>Julia Frayer:</t>
        </r>
        <r>
          <rPr>
            <sz val="8"/>
            <rFont val="Tahoma"/>
            <family val="0"/>
          </rPr>
          <t xml:space="preserve">
starting value assumption</t>
        </r>
      </text>
    </comment>
    <comment ref="J19" authorId="0">
      <text>
        <r>
          <rPr>
            <b/>
            <sz val="8"/>
            <rFont val="Tahoma"/>
            <family val="0"/>
          </rPr>
          <t>Julia Frayer:</t>
        </r>
        <r>
          <rPr>
            <sz val="8"/>
            <rFont val="Tahoma"/>
            <family val="0"/>
          </rPr>
          <t xml:space="preserve">
starting value assumption</t>
        </r>
      </text>
    </comment>
  </commentList>
</comments>
</file>

<file path=xl/sharedStrings.xml><?xml version="1.0" encoding="utf-8"?>
<sst xmlns="http://schemas.openxmlformats.org/spreadsheetml/2006/main" count="72" uniqueCount="43">
  <si>
    <t>Capex</t>
  </si>
  <si>
    <t>Inflation</t>
  </si>
  <si>
    <t>X factor</t>
  </si>
  <si>
    <t>Revenues</t>
  </si>
  <si>
    <t>WACC</t>
  </si>
  <si>
    <t>Distribution Rates</t>
  </si>
  <si>
    <t>$/MWh</t>
  </si>
  <si>
    <t>Volume Served</t>
  </si>
  <si>
    <t>MWh</t>
  </si>
  <si>
    <t>$ millions</t>
  </si>
  <si>
    <t>T+1</t>
  </si>
  <si>
    <t>T+2</t>
  </si>
  <si>
    <t>T+3</t>
  </si>
  <si>
    <t>T+4</t>
  </si>
  <si>
    <t>Base Year (T)</t>
  </si>
  <si>
    <t>T+5</t>
  </si>
  <si>
    <t>Volume Growth</t>
  </si>
  <si>
    <t>Payment in lieu of taxes</t>
  </si>
  <si>
    <t>Implied tax rate</t>
  </si>
  <si>
    <t>Interest expense</t>
  </si>
  <si>
    <t>interest rate</t>
  </si>
  <si>
    <t>Net Income</t>
  </si>
  <si>
    <t>Amortization of capital invested</t>
  </si>
  <si>
    <t>leverage</t>
  </si>
  <si>
    <t>Return on Equity</t>
  </si>
  <si>
    <t>Rate Base</t>
  </si>
  <si>
    <t>Amortization</t>
  </si>
  <si>
    <t>Mid-year Book Value</t>
  </si>
  <si>
    <t>annual capex ($ millions)</t>
  </si>
  <si>
    <t>OM&amp;A Expenses</t>
  </si>
  <si>
    <t>Debt</t>
  </si>
  <si>
    <t>Equity</t>
  </si>
  <si>
    <t>Book Value - Opening Balance</t>
  </si>
  <si>
    <t>Book Value - Closing Balance</t>
  </si>
  <si>
    <t>Results</t>
  </si>
  <si>
    <t>Input assumptions</t>
  </si>
  <si>
    <t>user can modify all inputs in blue</t>
  </si>
  <si>
    <t>amortization rate for pre-existing rate base</t>
  </si>
  <si>
    <t>amortization rate for new capital additions</t>
  </si>
  <si>
    <t>based on book value with capital additions</t>
  </si>
  <si>
    <t>trend with cost reductions and inflation; volume growth conservatively assumed not to affect OM&amp;A basis</t>
  </si>
  <si>
    <t>OM&amp;A cost reduction (p.a.)</t>
  </si>
  <si>
    <t xml:space="preserve"> rate base for setting rates; held constant under next rebasing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</si>
</sst>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0.0%"/>
    <numFmt numFmtId="170" formatCode="&quot;$&quot;#,##0.0_);\(&quot;$&quot;#,##0.0\)"/>
    <numFmt numFmtId="171" formatCode="0.000%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i/>
      <sz val="10"/>
      <color indexed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4" fontId="0" fillId="0" borderId="0" xfId="17" applyAlignment="1">
      <alignment/>
    </xf>
    <xf numFmtId="4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/>
    </xf>
    <xf numFmtId="44" fontId="0" fillId="0" borderId="0" xfId="0" applyNumberFormat="1" applyAlignment="1">
      <alignment/>
    </xf>
    <xf numFmtId="9" fontId="0" fillId="0" borderId="0" xfId="21" applyAlignment="1">
      <alignment/>
    </xf>
    <xf numFmtId="169" fontId="0" fillId="0" borderId="0" xfId="21" applyNumberFormat="1" applyAlignment="1">
      <alignment/>
    </xf>
    <xf numFmtId="0" fontId="0" fillId="2" borderId="1" xfId="0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4" fontId="0" fillId="2" borderId="1" xfId="17" applyFill="1" applyBorder="1" applyAlignment="1">
      <alignment/>
    </xf>
    <xf numFmtId="167" fontId="0" fillId="2" borderId="1" xfId="15" applyNumberFormat="1" applyFill="1" applyBorder="1" applyAlignment="1">
      <alignment/>
    </xf>
    <xf numFmtId="164" fontId="0" fillId="2" borderId="1" xfId="17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169" fontId="0" fillId="0" borderId="0" xfId="21" applyNumberFormat="1" applyFill="1" applyAlignment="1">
      <alignment/>
    </xf>
    <xf numFmtId="164" fontId="0" fillId="2" borderId="1" xfId="17" applyNumberFormat="1" applyFont="1" applyFill="1" applyBorder="1" applyAlignment="1">
      <alignment/>
    </xf>
    <xf numFmtId="43" fontId="2" fillId="0" borderId="0" xfId="0" applyNumberFormat="1" applyFont="1" applyAlignment="1">
      <alignment horizontal="center" vertical="top" wrapText="1"/>
    </xf>
    <xf numFmtId="43" fontId="0" fillId="2" borderId="1" xfId="0" applyNumberFormat="1" applyFill="1" applyBorder="1" applyAlignment="1">
      <alignment/>
    </xf>
    <xf numFmtId="0" fontId="6" fillId="3" borderId="0" xfId="0" applyFont="1" applyFill="1" applyAlignment="1">
      <alignment/>
    </xf>
    <xf numFmtId="169" fontId="9" fillId="3" borderId="0" xfId="0" applyNumberFormat="1" applyFont="1" applyFill="1" applyAlignment="1">
      <alignment/>
    </xf>
    <xf numFmtId="0" fontId="9" fillId="3" borderId="0" xfId="0" applyFont="1" applyFill="1" applyAlignment="1">
      <alignment/>
    </xf>
    <xf numFmtId="9" fontId="9" fillId="3" borderId="0" xfId="21" applyFont="1" applyFill="1" applyAlignment="1">
      <alignment/>
    </xf>
    <xf numFmtId="43" fontId="9" fillId="3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69" fontId="11" fillId="0" borderId="0" xfId="0" applyNumberFormat="1" applyFont="1" applyFill="1" applyAlignment="1">
      <alignment/>
    </xf>
    <xf numFmtId="5" fontId="11" fillId="0" borderId="0" xfId="17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4" fontId="4" fillId="2" borderId="1" xfId="17" applyFont="1" applyFill="1" applyBorder="1" applyAlignment="1">
      <alignment/>
    </xf>
    <xf numFmtId="164" fontId="4" fillId="2" borderId="1" xfId="17" applyNumberFormat="1" applyFont="1" applyFill="1" applyBorder="1" applyAlignment="1">
      <alignment/>
    </xf>
    <xf numFmtId="167" fontId="4" fillId="2" borderId="1" xfId="15" applyNumberFormat="1" applyFont="1" applyFill="1" applyBorder="1" applyAlignment="1">
      <alignment/>
    </xf>
    <xf numFmtId="10" fontId="0" fillId="2" borderId="1" xfId="21" applyNumberFormat="1" applyFill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zoomScale="110" zoomScaleNormal="110" workbookViewId="0" topLeftCell="A1">
      <selection activeCell="B9" sqref="B9"/>
    </sheetView>
  </sheetViews>
  <sheetFormatPr defaultColWidth="9.140625" defaultRowHeight="12.75"/>
  <cols>
    <col min="1" max="1" width="25.28125" style="0" customWidth="1"/>
    <col min="2" max="2" width="13.00390625" style="0" customWidth="1"/>
    <col min="3" max="3" width="12.140625" style="0" customWidth="1"/>
    <col min="4" max="4" width="15.00390625" style="0" customWidth="1"/>
    <col min="5" max="5" width="12.57421875" style="0" customWidth="1"/>
    <col min="6" max="6" width="10.28125" style="0" bestFit="1" customWidth="1"/>
    <col min="7" max="7" width="2.421875" style="0" customWidth="1"/>
    <col min="8" max="8" width="13.00390625" style="0" customWidth="1"/>
    <col min="9" max="9" width="12.140625" style="0" customWidth="1"/>
    <col min="10" max="10" width="14.28125" style="0" customWidth="1"/>
    <col min="11" max="11" width="15.00390625" style="0" customWidth="1"/>
    <col min="12" max="12" width="10.57421875" style="0" customWidth="1"/>
    <col min="13" max="14" width="10.28125" style="0" bestFit="1" customWidth="1"/>
    <col min="15" max="15" width="2.421875" style="0" customWidth="1"/>
    <col min="16" max="16" width="13.00390625" style="0" customWidth="1"/>
    <col min="17" max="17" width="10.28125" style="0" bestFit="1" customWidth="1"/>
    <col min="18" max="21" width="10.28125" style="0" customWidth="1"/>
    <col min="22" max="22" width="4.00390625" style="0" customWidth="1"/>
    <col min="23" max="23" width="13.140625" style="0" customWidth="1"/>
    <col min="24" max="24" width="11.00390625" style="0" customWidth="1"/>
    <col min="25" max="25" width="12.57421875" style="0" customWidth="1"/>
    <col min="26" max="26" width="13.7109375" style="0" customWidth="1"/>
    <col min="27" max="27" width="13.00390625" style="0" customWidth="1"/>
  </cols>
  <sheetData>
    <row r="1" spans="1:27" ht="12.75">
      <c r="A1" s="29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ht="12.75">
      <c r="A2" s="34" t="s">
        <v>36</v>
      </c>
    </row>
    <row r="3" spans="1:16" ht="12.75">
      <c r="A3" t="s">
        <v>4</v>
      </c>
      <c r="B3" s="37">
        <v>0.086</v>
      </c>
      <c r="H3" s="9"/>
      <c r="P3" s="9"/>
    </row>
    <row r="4" spans="1:6" ht="12.75">
      <c r="A4" s="38" t="s">
        <v>1</v>
      </c>
      <c r="B4" s="35">
        <v>0.02</v>
      </c>
      <c r="D4" s="9"/>
      <c r="F4" s="9"/>
    </row>
    <row r="5" spans="1:2" ht="12.75">
      <c r="A5" s="38" t="s">
        <v>2</v>
      </c>
      <c r="B5" s="35">
        <v>0.005</v>
      </c>
    </row>
    <row r="6" spans="1:2" ht="12.75">
      <c r="A6" s="38" t="s">
        <v>16</v>
      </c>
      <c r="B6" s="35">
        <v>0.01</v>
      </c>
    </row>
    <row r="7" spans="1:2" ht="12.75">
      <c r="A7" s="38" t="s">
        <v>41</v>
      </c>
      <c r="B7" s="35">
        <v>0.005</v>
      </c>
    </row>
    <row r="8" spans="1:2" ht="12.75">
      <c r="A8" t="s">
        <v>18</v>
      </c>
      <c r="B8" s="35">
        <v>0.35</v>
      </c>
    </row>
    <row r="9" spans="1:2" ht="12.75">
      <c r="A9" t="s">
        <v>28</v>
      </c>
      <c r="B9" s="36">
        <v>45</v>
      </c>
    </row>
    <row r="10" spans="1:2" ht="12.75">
      <c r="A10" t="s">
        <v>20</v>
      </c>
      <c r="B10" s="35">
        <v>0.061</v>
      </c>
    </row>
    <row r="11" spans="1:5" ht="12.75">
      <c r="A11" t="s">
        <v>23</v>
      </c>
      <c r="B11" s="35">
        <v>0.6</v>
      </c>
      <c r="E11" s="11"/>
    </row>
    <row r="12" spans="1:16" ht="12.75">
      <c r="A12" t="s">
        <v>37</v>
      </c>
      <c r="B12" s="35">
        <v>0.04</v>
      </c>
      <c r="E12" s="11"/>
      <c r="H12" s="3"/>
      <c r="J12" s="2"/>
      <c r="P12" s="3"/>
    </row>
    <row r="13" spans="1:16" ht="12.75">
      <c r="A13" t="s">
        <v>38</v>
      </c>
      <c r="B13" s="35">
        <v>0.07</v>
      </c>
      <c r="E13" s="11"/>
      <c r="H13" s="3"/>
      <c r="J13" s="2"/>
      <c r="P13" s="3"/>
    </row>
    <row r="14" spans="2:16" ht="12.75">
      <c r="B14" s="3"/>
      <c r="E14" s="11"/>
      <c r="H14" s="3"/>
      <c r="J14" s="2"/>
      <c r="P14" s="3"/>
    </row>
    <row r="15" spans="2:16" ht="12.75">
      <c r="B15" s="3"/>
      <c r="E15" s="11"/>
      <c r="H15" s="3"/>
      <c r="J15" s="2"/>
      <c r="P15" s="3"/>
    </row>
    <row r="16" spans="1:27" ht="12.75">
      <c r="A16" s="29" t="s">
        <v>34</v>
      </c>
      <c r="B16" s="30"/>
      <c r="C16" s="31"/>
      <c r="D16" s="31"/>
      <c r="E16" s="32"/>
      <c r="F16" s="31"/>
      <c r="G16" s="31"/>
      <c r="H16" s="30"/>
      <c r="I16" s="31"/>
      <c r="J16" s="33"/>
      <c r="K16" s="31"/>
      <c r="L16" s="31"/>
      <c r="M16" s="31"/>
      <c r="N16" s="31"/>
      <c r="O16" s="31"/>
      <c r="P16" s="30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2:27" s="5" customFormat="1" ht="38.25">
      <c r="B17" s="13"/>
      <c r="C17" s="14" t="s">
        <v>5</v>
      </c>
      <c r="D17" s="14" t="s">
        <v>25</v>
      </c>
      <c r="E17" s="14" t="s">
        <v>7</v>
      </c>
      <c r="F17" s="14" t="s">
        <v>3</v>
      </c>
      <c r="H17" s="13"/>
      <c r="I17" s="14" t="s">
        <v>3</v>
      </c>
      <c r="J17" s="14" t="s">
        <v>29</v>
      </c>
      <c r="K17" s="14" t="s">
        <v>22</v>
      </c>
      <c r="L17" s="14" t="s">
        <v>19</v>
      </c>
      <c r="M17" s="14" t="s">
        <v>17</v>
      </c>
      <c r="N17" s="14" t="s">
        <v>21</v>
      </c>
      <c r="P17" s="13"/>
      <c r="Q17" s="14" t="str">
        <f>N17</f>
        <v>Net Income</v>
      </c>
      <c r="R17" s="14" t="str">
        <f>AA17</f>
        <v>Mid-year Book Value</v>
      </c>
      <c r="S17" s="14" t="s">
        <v>30</v>
      </c>
      <c r="T17" s="14" t="s">
        <v>31</v>
      </c>
      <c r="U17" s="14" t="s">
        <v>24</v>
      </c>
      <c r="W17" s="14" t="s">
        <v>32</v>
      </c>
      <c r="X17" s="14" t="s">
        <v>0</v>
      </c>
      <c r="Y17" s="14" t="s">
        <v>26</v>
      </c>
      <c r="Z17" s="14" t="s">
        <v>33</v>
      </c>
      <c r="AA17" s="14" t="s">
        <v>27</v>
      </c>
    </row>
    <row r="18" spans="2:27" ht="18" customHeight="1">
      <c r="B18" s="15"/>
      <c r="C18" s="16" t="s">
        <v>6</v>
      </c>
      <c r="D18" s="16" t="s">
        <v>9</v>
      </c>
      <c r="E18" s="16" t="s">
        <v>8</v>
      </c>
      <c r="F18" s="16" t="s">
        <v>9</v>
      </c>
      <c r="H18" s="15"/>
      <c r="I18" s="16" t="s">
        <v>9</v>
      </c>
      <c r="J18" s="16" t="s">
        <v>9</v>
      </c>
      <c r="K18" s="16" t="s">
        <v>9</v>
      </c>
      <c r="L18" s="16" t="s">
        <v>9</v>
      </c>
      <c r="M18" s="16" t="s">
        <v>9</v>
      </c>
      <c r="N18" s="16" t="s">
        <v>9</v>
      </c>
      <c r="P18" s="15"/>
      <c r="Q18" s="16" t="s">
        <v>9</v>
      </c>
      <c r="R18" s="16" t="s">
        <v>9</v>
      </c>
      <c r="S18" s="16" t="s">
        <v>9</v>
      </c>
      <c r="T18" s="16" t="s">
        <v>9</v>
      </c>
      <c r="U18" s="15"/>
      <c r="W18" s="16" t="s">
        <v>9</v>
      </c>
      <c r="X18" s="16" t="s">
        <v>9</v>
      </c>
      <c r="Y18" s="16" t="s">
        <v>9</v>
      </c>
      <c r="Z18" s="16" t="s">
        <v>9</v>
      </c>
      <c r="AA18" s="16" t="s">
        <v>9</v>
      </c>
    </row>
    <row r="19" spans="2:27" ht="12.75">
      <c r="B19" s="17" t="s">
        <v>14</v>
      </c>
      <c r="C19" s="39">
        <v>17.5</v>
      </c>
      <c r="D19" s="40">
        <v>575</v>
      </c>
      <c r="E19" s="41">
        <v>6750000</v>
      </c>
      <c r="F19" s="20">
        <f aca="true" t="shared" si="0" ref="F19:F24">C19*E19/1000000</f>
        <v>118.125</v>
      </c>
      <c r="H19" s="17" t="s">
        <v>14</v>
      </c>
      <c r="I19" s="20">
        <f aca="true" t="shared" si="1" ref="I19:I24">F19</f>
        <v>118.125</v>
      </c>
      <c r="J19" s="40">
        <v>40</v>
      </c>
      <c r="K19" s="20">
        <f>D19*amortization_old+X19*amortization_new</f>
        <v>26.15</v>
      </c>
      <c r="L19" s="26">
        <f aca="true" t="shared" si="2" ref="L19:L24">(AA19)*leverage*interest_rate</f>
        <v>21.389954999999997</v>
      </c>
      <c r="M19" s="21">
        <f aca="true" t="shared" si="3" ref="M19:M24">(F19-J19-K19-L19)*$B$8</f>
        <v>10.704765750000002</v>
      </c>
      <c r="N19" s="20">
        <f aca="true" t="shared" si="4" ref="N19:N24">F19-J19-K19-L19-M19</f>
        <v>19.88027925</v>
      </c>
      <c r="P19" s="17" t="s">
        <v>14</v>
      </c>
      <c r="Q19" s="20">
        <f aca="true" t="shared" si="5" ref="Q19:Q24">N19</f>
        <v>19.88027925</v>
      </c>
      <c r="R19" s="20">
        <f aca="true" t="shared" si="6" ref="R19:R24">AA19</f>
        <v>584.425</v>
      </c>
      <c r="S19" s="20">
        <f aca="true" t="shared" si="7" ref="S19:S24">R19*leverage</f>
        <v>350.655</v>
      </c>
      <c r="T19" s="20">
        <f aca="true" t="shared" si="8" ref="T19:T24">R19*(1-leverage)</f>
        <v>233.76999999999998</v>
      </c>
      <c r="U19" s="42">
        <f>N19/(AA19*(1-leverage))</f>
        <v>0.08504204666980367</v>
      </c>
      <c r="W19" s="21">
        <f>D19</f>
        <v>575</v>
      </c>
      <c r="X19" s="28">
        <f>capex</f>
        <v>45</v>
      </c>
      <c r="Y19" s="21">
        <f aca="true" t="shared" si="9" ref="Y19:Y24">K19</f>
        <v>26.15</v>
      </c>
      <c r="Z19" s="28">
        <f aca="true" t="shared" si="10" ref="Z19:Z24">W19+X19-Y19</f>
        <v>593.85</v>
      </c>
      <c r="AA19" s="21">
        <f aca="true" t="shared" si="11" ref="AA19:AA24">AVERAGE(W19,Z19)</f>
        <v>584.425</v>
      </c>
    </row>
    <row r="20" spans="2:27" ht="12.75">
      <c r="B20" s="17" t="s">
        <v>10</v>
      </c>
      <c r="C20" s="18">
        <f>C19*(1+Inflation-X_factor)</f>
        <v>17.762500000000003</v>
      </c>
      <c r="D20" s="20">
        <f>D19+0.5*C28</f>
        <v>575</v>
      </c>
      <c r="E20" s="19">
        <f>E19*(1+VolumeGrowth)</f>
        <v>6817500</v>
      </c>
      <c r="F20" s="20">
        <f t="shared" si="0"/>
        <v>121.09584375000001</v>
      </c>
      <c r="H20" s="17" t="s">
        <v>10</v>
      </c>
      <c r="I20" s="20">
        <f t="shared" si="1"/>
        <v>121.09584375000001</v>
      </c>
      <c r="J20" s="20">
        <f>(J19*(1-OMACostredux))*(1+Inflation)</f>
        <v>40.596</v>
      </c>
      <c r="K20" s="20">
        <f>$D$19*amortization_old+SUM($X$19:X20)*amortization_new</f>
        <v>29.3</v>
      </c>
      <c r="L20" s="26">
        <f t="shared" si="2"/>
        <v>22.02222</v>
      </c>
      <c r="M20" s="21">
        <f t="shared" si="3"/>
        <v>10.212168312500008</v>
      </c>
      <c r="N20" s="20">
        <f t="shared" si="4"/>
        <v>18.96545543750002</v>
      </c>
      <c r="P20" s="17" t="s">
        <v>10</v>
      </c>
      <c r="Q20" s="20">
        <f t="shared" si="5"/>
        <v>18.96545543750002</v>
      </c>
      <c r="R20" s="20">
        <f t="shared" si="6"/>
        <v>601.7</v>
      </c>
      <c r="S20" s="20">
        <f t="shared" si="7"/>
        <v>361.02000000000004</v>
      </c>
      <c r="T20" s="20">
        <f t="shared" si="8"/>
        <v>240.68000000000004</v>
      </c>
      <c r="U20" s="42">
        <f>N20/(AA20*(1-leverage))</f>
        <v>0.07879946583638033</v>
      </c>
      <c r="W20" s="28">
        <f>Z19</f>
        <v>593.85</v>
      </c>
      <c r="X20" s="28">
        <f>capex</f>
        <v>45</v>
      </c>
      <c r="Y20" s="21">
        <f t="shared" si="9"/>
        <v>29.3</v>
      </c>
      <c r="Z20" s="28">
        <f t="shared" si="10"/>
        <v>609.5500000000001</v>
      </c>
      <c r="AA20" s="21">
        <f t="shared" si="11"/>
        <v>601.7</v>
      </c>
    </row>
    <row r="21" spans="2:27" ht="12.75">
      <c r="B21" s="17" t="s">
        <v>11</v>
      </c>
      <c r="C21" s="18">
        <f>C20*(1+Inflation-X_factor)</f>
        <v>18.028937500000005</v>
      </c>
      <c r="D21" s="20">
        <f>D20</f>
        <v>575</v>
      </c>
      <c r="E21" s="19">
        <f>E20*(1+VolumeGrowth)</f>
        <v>6885675</v>
      </c>
      <c r="F21" s="20">
        <f t="shared" si="0"/>
        <v>124.14140422031254</v>
      </c>
      <c r="H21" s="17" t="s">
        <v>11</v>
      </c>
      <c r="I21" s="20">
        <f t="shared" si="1"/>
        <v>124.14140422031254</v>
      </c>
      <c r="J21" s="20">
        <f>(J20*(1-OMACostredux))*(1+Inflation)</f>
        <v>41.200880399999996</v>
      </c>
      <c r="K21" s="20">
        <f>$D$19*amortization_old+SUM($X$19:X21)*amortization_new</f>
        <v>32.45</v>
      </c>
      <c r="L21" s="26">
        <f t="shared" si="2"/>
        <v>22.539195</v>
      </c>
      <c r="M21" s="21">
        <f t="shared" si="3"/>
        <v>9.782965087109385</v>
      </c>
      <c r="N21" s="20">
        <f t="shared" si="4"/>
        <v>18.168363733203147</v>
      </c>
      <c r="P21" s="17" t="s">
        <v>11</v>
      </c>
      <c r="Q21" s="20">
        <f t="shared" si="5"/>
        <v>18.168363733203147</v>
      </c>
      <c r="R21" s="20">
        <f t="shared" si="6"/>
        <v>615.825</v>
      </c>
      <c r="S21" s="20">
        <f t="shared" si="7"/>
        <v>369.495</v>
      </c>
      <c r="T21" s="20">
        <f t="shared" si="8"/>
        <v>246.33000000000004</v>
      </c>
      <c r="U21" s="42">
        <f>N21/(AA21*(1-leverage))</f>
        <v>0.0737561958884551</v>
      </c>
      <c r="W21" s="28">
        <f>Z20</f>
        <v>609.5500000000001</v>
      </c>
      <c r="X21" s="28">
        <f>capex</f>
        <v>45</v>
      </c>
      <c r="Y21" s="21">
        <f t="shared" si="9"/>
        <v>32.45</v>
      </c>
      <c r="Z21" s="28">
        <f t="shared" si="10"/>
        <v>622.1</v>
      </c>
      <c r="AA21" s="21">
        <f t="shared" si="11"/>
        <v>615.825</v>
      </c>
    </row>
    <row r="22" spans="2:27" ht="12.75">
      <c r="B22" s="17" t="s">
        <v>12</v>
      </c>
      <c r="C22" s="18">
        <f>C21*(1+Inflation-X_factor)</f>
        <v>18.299371562500006</v>
      </c>
      <c r="D22" s="20">
        <f>D21</f>
        <v>575</v>
      </c>
      <c r="E22" s="19">
        <f>E21*(1+VolumeGrowth)</f>
        <v>6954531.75</v>
      </c>
      <c r="F22" s="20">
        <f t="shared" si="0"/>
        <v>127.26356053645341</v>
      </c>
      <c r="H22" s="17" t="s">
        <v>12</v>
      </c>
      <c r="I22" s="20">
        <f t="shared" si="1"/>
        <v>127.26356053645341</v>
      </c>
      <c r="J22" s="20">
        <f>(J21*(1-OMACostredux))*(1+Inflation)</f>
        <v>41.81477351796</v>
      </c>
      <c r="K22" s="20">
        <f>$D$19*amortization_old+SUM($X$19:X22)*amortization_new</f>
        <v>35.6</v>
      </c>
      <c r="L22" s="26">
        <f t="shared" si="2"/>
        <v>22.94088</v>
      </c>
      <c r="M22" s="21">
        <f t="shared" si="3"/>
        <v>9.417767456472696</v>
      </c>
      <c r="N22" s="20">
        <f t="shared" si="4"/>
        <v>17.490139562020723</v>
      </c>
      <c r="P22" s="17" t="s">
        <v>12</v>
      </c>
      <c r="Q22" s="20">
        <f t="shared" si="5"/>
        <v>17.490139562020723</v>
      </c>
      <c r="R22" s="20">
        <f t="shared" si="6"/>
        <v>626.8</v>
      </c>
      <c r="S22" s="20">
        <f t="shared" si="7"/>
        <v>376.08</v>
      </c>
      <c r="T22" s="20">
        <f t="shared" si="8"/>
        <v>250.72</v>
      </c>
      <c r="U22" s="42">
        <f>N22/(AA22*(1-leverage))</f>
        <v>0.06975965045477314</v>
      </c>
      <c r="W22" s="28">
        <f>Z21</f>
        <v>622.1</v>
      </c>
      <c r="X22" s="28">
        <f>capex</f>
        <v>45</v>
      </c>
      <c r="Y22" s="21">
        <f t="shared" si="9"/>
        <v>35.6</v>
      </c>
      <c r="Z22" s="28">
        <f t="shared" si="10"/>
        <v>631.5</v>
      </c>
      <c r="AA22" s="21">
        <f t="shared" si="11"/>
        <v>626.8</v>
      </c>
    </row>
    <row r="23" spans="2:27" ht="12.75">
      <c r="B23" s="17" t="s">
        <v>13</v>
      </c>
      <c r="C23" s="18">
        <f>C22*(1+Inflation-X_factor)</f>
        <v>18.57386213593751</v>
      </c>
      <c r="D23" s="20">
        <f>D22</f>
        <v>575</v>
      </c>
      <c r="E23" s="19">
        <f>E22*(1+VolumeGrowth)</f>
        <v>7024077.0675</v>
      </c>
      <c r="F23" s="20">
        <f t="shared" si="0"/>
        <v>130.46423908394522</v>
      </c>
      <c r="H23" s="17" t="s">
        <v>13</v>
      </c>
      <c r="I23" s="20">
        <f t="shared" si="1"/>
        <v>130.46423908394522</v>
      </c>
      <c r="J23" s="20">
        <f>(J22*(1-OMACostredux))*(1+Inflation)</f>
        <v>42.4378136433776</v>
      </c>
      <c r="K23" s="20">
        <f>$D$19*amortization_old+SUM($X$19:X23)*amortization_new</f>
        <v>38.75</v>
      </c>
      <c r="L23" s="26">
        <f t="shared" si="2"/>
        <v>23.227275</v>
      </c>
      <c r="M23" s="21">
        <f t="shared" si="3"/>
        <v>9.117202654198662</v>
      </c>
      <c r="N23" s="20">
        <f t="shared" si="4"/>
        <v>16.931947786368944</v>
      </c>
      <c r="P23" s="17" t="s">
        <v>13</v>
      </c>
      <c r="Q23" s="20">
        <f t="shared" si="5"/>
        <v>16.931947786368944</v>
      </c>
      <c r="R23" s="20">
        <f t="shared" si="6"/>
        <v>634.625</v>
      </c>
      <c r="S23" s="20">
        <f t="shared" si="7"/>
        <v>380.775</v>
      </c>
      <c r="T23" s="20">
        <f t="shared" si="8"/>
        <v>253.85000000000002</v>
      </c>
      <c r="U23" s="42">
        <f>N23/(AA23*(1-leverage))</f>
        <v>0.06670060187657649</v>
      </c>
      <c r="W23" s="28">
        <f>Z22</f>
        <v>631.5</v>
      </c>
      <c r="X23" s="28">
        <f>capex</f>
        <v>45</v>
      </c>
      <c r="Y23" s="21">
        <f t="shared" si="9"/>
        <v>38.75</v>
      </c>
      <c r="Z23" s="28">
        <f t="shared" si="10"/>
        <v>637.75</v>
      </c>
      <c r="AA23" s="21">
        <f t="shared" si="11"/>
        <v>634.625</v>
      </c>
    </row>
    <row r="24" spans="2:27" ht="12.75">
      <c r="B24" s="17" t="s">
        <v>15</v>
      </c>
      <c r="C24" s="18">
        <f>C23*(1+Inflation-X_factor)</f>
        <v>18.852470067976576</v>
      </c>
      <c r="D24" s="20">
        <f>D23</f>
        <v>575</v>
      </c>
      <c r="E24" s="19">
        <f>E23*(1+VolumeGrowth)</f>
        <v>7094317.838175</v>
      </c>
      <c r="F24" s="20">
        <f t="shared" si="0"/>
        <v>133.74541469690647</v>
      </c>
      <c r="H24" s="17" t="s">
        <v>15</v>
      </c>
      <c r="I24" s="20">
        <f t="shared" si="1"/>
        <v>133.74541469690647</v>
      </c>
      <c r="J24" s="20">
        <f>(J23*(1-OMACostredux))*(1+Inflation)</f>
        <v>43.07013706666393</v>
      </c>
      <c r="K24" s="20">
        <f>$D$19*amortization_old+SUM($X$19:X24)*amortization_new</f>
        <v>41.900000000000006</v>
      </c>
      <c r="L24" s="26">
        <f t="shared" si="2"/>
        <v>23.39838</v>
      </c>
      <c r="M24" s="21">
        <f t="shared" si="3"/>
        <v>8.881914170584885</v>
      </c>
      <c r="N24" s="20">
        <f t="shared" si="4"/>
        <v>16.494983459657643</v>
      </c>
      <c r="P24" s="17" t="s">
        <v>15</v>
      </c>
      <c r="Q24" s="20">
        <f t="shared" si="5"/>
        <v>16.494983459657643</v>
      </c>
      <c r="R24" s="20">
        <f t="shared" si="6"/>
        <v>639.3</v>
      </c>
      <c r="S24" s="20">
        <f t="shared" si="7"/>
        <v>383.58</v>
      </c>
      <c r="T24" s="20">
        <f t="shared" si="8"/>
        <v>255.72</v>
      </c>
      <c r="U24" s="42">
        <f>N24/(AA24*(1-leverage))</f>
        <v>0.06450408047730972</v>
      </c>
      <c r="W24" s="28">
        <f>Z23</f>
        <v>637.75</v>
      </c>
      <c r="X24" s="28">
        <f>capex</f>
        <v>45</v>
      </c>
      <c r="Y24" s="21">
        <f t="shared" si="9"/>
        <v>41.900000000000006</v>
      </c>
      <c r="Z24" s="28">
        <f t="shared" si="10"/>
        <v>640.85</v>
      </c>
      <c r="AA24" s="21">
        <f t="shared" si="11"/>
        <v>639.3</v>
      </c>
    </row>
    <row r="25" spans="4:11" s="5" customFormat="1" ht="142.5" customHeight="1">
      <c r="D25" s="43" t="s">
        <v>42</v>
      </c>
      <c r="J25" s="44" t="s">
        <v>40</v>
      </c>
      <c r="K25" s="44" t="s">
        <v>39</v>
      </c>
    </row>
    <row r="26" spans="3:21" s="5" customFormat="1" ht="12.75">
      <c r="C26" s="7"/>
      <c r="D26" s="43"/>
      <c r="E26" s="7"/>
      <c r="J26" s="27"/>
      <c r="K26" s="6"/>
      <c r="L26" s="23"/>
      <c r="M26" s="6"/>
      <c r="N26" s="7"/>
      <c r="U26" s="7"/>
    </row>
    <row r="27" spans="3:12" ht="12.75">
      <c r="C27" s="8"/>
      <c r="D27" s="8"/>
      <c r="E27" s="8"/>
      <c r="J27" s="8"/>
      <c r="K27" s="8"/>
      <c r="L27" s="24"/>
    </row>
    <row r="28" spans="2:21" ht="12.75">
      <c r="B28" s="4"/>
      <c r="C28" s="1"/>
      <c r="D28" s="1"/>
      <c r="H28" s="4"/>
      <c r="K28" s="10"/>
      <c r="L28" s="25"/>
      <c r="M28" s="12"/>
      <c r="N28" s="12"/>
      <c r="P28" s="4"/>
      <c r="U28" s="12"/>
    </row>
    <row r="29" spans="2:16" ht="12.75">
      <c r="B29" s="4"/>
      <c r="C29" s="1"/>
      <c r="D29" s="1"/>
      <c r="H29" s="4"/>
      <c r="K29" s="10"/>
      <c r="L29" s="25"/>
      <c r="P29" s="4"/>
    </row>
    <row r="30" spans="2:16" ht="12.75">
      <c r="B30" s="4"/>
      <c r="C30" s="1"/>
      <c r="D30" s="1"/>
      <c r="H30" s="4"/>
      <c r="K30" s="10"/>
      <c r="L30" s="25"/>
      <c r="P30" s="4"/>
    </row>
    <row r="31" spans="2:16" ht="12.75">
      <c r="B31" s="4"/>
      <c r="C31" s="1"/>
      <c r="D31" s="1"/>
      <c r="H31" s="4"/>
      <c r="K31" s="10"/>
      <c r="L31" s="25"/>
      <c r="P31" s="4"/>
    </row>
    <row r="32" spans="2:16" ht="12.75">
      <c r="B32" s="4"/>
      <c r="C32" s="1"/>
      <c r="D32" s="1"/>
      <c r="H32" s="4"/>
      <c r="K32" s="10"/>
      <c r="L32" s="25"/>
      <c r="P32" s="4"/>
    </row>
    <row r="33" spans="2:16" ht="12.75">
      <c r="B33" s="4"/>
      <c r="C33" s="1"/>
      <c r="D33" s="1"/>
      <c r="H33" s="4"/>
      <c r="K33" s="10"/>
      <c r="L33" s="25"/>
      <c r="P33" s="4"/>
    </row>
    <row r="34" ht="12.75">
      <c r="C34" s="22"/>
    </row>
  </sheetData>
  <printOptions/>
  <pageMargins left="0.75" right="0.75" top="1" bottom="1" header="0.5" footer="0.5"/>
  <pageSetup fitToHeight="1" fitToWidth="1" horizontalDpi="300" verticalDpi="300" orientation="landscape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Economics International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Julia Frayer</cp:lastModifiedBy>
  <cp:lastPrinted>2008-03-26T17:54:56Z</cp:lastPrinted>
  <dcterms:created xsi:type="dcterms:W3CDTF">2007-11-19T21:10:46Z</dcterms:created>
  <dcterms:modified xsi:type="dcterms:W3CDTF">2008-03-26T17:54:59Z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