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pplications Department\Application Policy and Conservation\Applications - Other\IRP Working Group (EB-2021-0246)\DCF\"/>
    </mc:Choice>
  </mc:AlternateContent>
  <xr:revisionPtr revIDLastSave="0" documentId="13_ncr:1_{A9071795-DFEA-4707-BA95-901B0AD9485B}" xr6:coauthVersionLast="47" xr6:coauthVersionMax="47" xr10:uidLastSave="{00000000-0000-0000-0000-000000000000}"/>
  <bookViews>
    <workbookView xWindow="38280" yWindow="-120" windowWidth="29040" windowHeight="15840" xr2:uid="{C3316B6E-E4E9-44F8-9F0E-5D607F6EEE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F27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F26" i="1"/>
  <c r="AD25" i="1"/>
  <c r="AC25" i="1"/>
  <c r="AB25" i="1"/>
  <c r="AA25" i="1"/>
  <c r="Z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J25" i="1"/>
  <c r="I25" i="1"/>
  <c r="H25" i="1"/>
  <c r="G25" i="1"/>
  <c r="F25" i="1"/>
  <c r="G24" i="1"/>
  <c r="H24" i="1"/>
  <c r="I24" i="1"/>
  <c r="J24" i="1"/>
  <c r="F24" i="1"/>
  <c r="G23" i="1"/>
  <c r="H23" i="1"/>
  <c r="I23" i="1"/>
  <c r="J23" i="1"/>
  <c r="F23" i="1"/>
  <c r="G22" i="1"/>
  <c r="H22" i="1"/>
  <c r="I22" i="1"/>
  <c r="J22" i="1"/>
  <c r="F22" i="1"/>
  <c r="K20" i="1"/>
  <c r="K68" i="1" s="1"/>
  <c r="K69" i="1" s="1"/>
  <c r="G68" i="1"/>
  <c r="G69" i="1" s="1"/>
  <c r="H68" i="1"/>
  <c r="H69" i="1" s="1"/>
  <c r="I68" i="1"/>
  <c r="I69" i="1" s="1"/>
  <c r="J68" i="1"/>
  <c r="J69" i="1" s="1"/>
  <c r="L68" i="1"/>
  <c r="L69" i="1" s="1"/>
  <c r="M68" i="1"/>
  <c r="M69" i="1" s="1"/>
  <c r="N68" i="1"/>
  <c r="N69" i="1" s="1"/>
  <c r="O68" i="1"/>
  <c r="O69" i="1" s="1"/>
  <c r="P68" i="1"/>
  <c r="P69" i="1" s="1"/>
  <c r="Q68" i="1"/>
  <c r="Q69" i="1" s="1"/>
  <c r="R68" i="1"/>
  <c r="R69" i="1" s="1"/>
  <c r="S68" i="1"/>
  <c r="S69" i="1" s="1"/>
  <c r="T68" i="1"/>
  <c r="T69" i="1" s="1"/>
  <c r="U68" i="1"/>
  <c r="U69" i="1" s="1"/>
  <c r="V68" i="1"/>
  <c r="V69" i="1" s="1"/>
  <c r="W68" i="1"/>
  <c r="W69" i="1" s="1"/>
  <c r="X68" i="1"/>
  <c r="X69" i="1" s="1"/>
  <c r="Y68" i="1"/>
  <c r="Y69" i="1" s="1"/>
  <c r="Z68" i="1"/>
  <c r="Z69" i="1" s="1"/>
  <c r="AA68" i="1"/>
  <c r="AA69" i="1" s="1"/>
  <c r="AB68" i="1"/>
  <c r="AB69" i="1" s="1"/>
  <c r="AC68" i="1"/>
  <c r="AC69" i="1" s="1"/>
  <c r="AD68" i="1"/>
  <c r="AD69" i="1" s="1"/>
  <c r="F68" i="1"/>
  <c r="F69" i="1" s="1"/>
  <c r="G41" i="1"/>
  <c r="G42" i="1" s="1"/>
  <c r="H41" i="1"/>
  <c r="H42" i="1" s="1"/>
  <c r="I41" i="1"/>
  <c r="I42" i="1" s="1"/>
  <c r="J41" i="1"/>
  <c r="J42" i="1" s="1"/>
  <c r="L41" i="1"/>
  <c r="L42" i="1" s="1"/>
  <c r="M41" i="1"/>
  <c r="M42" i="1" s="1"/>
  <c r="N41" i="1"/>
  <c r="N42" i="1" s="1"/>
  <c r="O41" i="1"/>
  <c r="O42" i="1" s="1"/>
  <c r="P41" i="1"/>
  <c r="P42" i="1" s="1"/>
  <c r="Q41" i="1"/>
  <c r="Q42" i="1" s="1"/>
  <c r="R41" i="1"/>
  <c r="R42" i="1" s="1"/>
  <c r="S41" i="1"/>
  <c r="S42" i="1" s="1"/>
  <c r="T41" i="1"/>
  <c r="T42" i="1" s="1"/>
  <c r="U41" i="1"/>
  <c r="U42" i="1" s="1"/>
  <c r="V41" i="1"/>
  <c r="V42" i="1" s="1"/>
  <c r="W41" i="1"/>
  <c r="W42" i="1" s="1"/>
  <c r="X41" i="1"/>
  <c r="X42" i="1" s="1"/>
  <c r="Y41" i="1"/>
  <c r="Y42" i="1" s="1"/>
  <c r="Z41" i="1"/>
  <c r="Z42" i="1" s="1"/>
  <c r="AA41" i="1"/>
  <c r="AA42" i="1" s="1"/>
  <c r="AB41" i="1"/>
  <c r="AB42" i="1" s="1"/>
  <c r="AC41" i="1"/>
  <c r="AC42" i="1" s="1"/>
  <c r="AD41" i="1"/>
  <c r="AD42" i="1" s="1"/>
  <c r="F41" i="1"/>
  <c r="F42" i="1" s="1"/>
  <c r="AB29" i="1" l="1"/>
  <c r="AB35" i="1" s="1"/>
  <c r="AB36" i="1" s="1"/>
  <c r="X29" i="1"/>
  <c r="X35" i="1" s="1"/>
  <c r="X36" i="1" s="1"/>
  <c r="T29" i="1"/>
  <c r="T35" i="1" s="1"/>
  <c r="T36" i="1" s="1"/>
  <c r="P29" i="1"/>
  <c r="P35" i="1" s="1"/>
  <c r="P36" i="1" s="1"/>
  <c r="L29" i="1"/>
  <c r="L35" i="1" s="1"/>
  <c r="L36" i="1" s="1"/>
  <c r="H29" i="1"/>
  <c r="H47" i="1" s="1"/>
  <c r="H48" i="1" s="1"/>
  <c r="W29" i="1"/>
  <c r="W35" i="1" s="1"/>
  <c r="W36" i="1" s="1"/>
  <c r="S29" i="1"/>
  <c r="S35" i="1" s="1"/>
  <c r="S36" i="1" s="1"/>
  <c r="O29" i="1"/>
  <c r="O35" i="1" s="1"/>
  <c r="O36" i="1" s="1"/>
  <c r="K29" i="1"/>
  <c r="K47" i="1" s="1"/>
  <c r="K48" i="1" s="1"/>
  <c r="Z29" i="1"/>
  <c r="Z35" i="1" s="1"/>
  <c r="Z36" i="1" s="1"/>
  <c r="AD28" i="1"/>
  <c r="AD73" i="1" s="1"/>
  <c r="AD74" i="1" s="1"/>
  <c r="N28" i="1"/>
  <c r="N73" i="1" s="1"/>
  <c r="N74" i="1" s="1"/>
  <c r="Q28" i="1"/>
  <c r="Q73" i="1" s="1"/>
  <c r="Q74" i="1" s="1"/>
  <c r="AB28" i="1"/>
  <c r="AB73" i="1" s="1"/>
  <c r="AB74" i="1" s="1"/>
  <c r="X28" i="1"/>
  <c r="X73" i="1" s="1"/>
  <c r="X74" i="1" s="1"/>
  <c r="T28" i="1"/>
  <c r="T73" i="1" s="1"/>
  <c r="T74" i="1" s="1"/>
  <c r="P28" i="1"/>
  <c r="P73" i="1" s="1"/>
  <c r="P74" i="1" s="1"/>
  <c r="L28" i="1"/>
  <c r="L73" i="1" s="1"/>
  <c r="L74" i="1" s="1"/>
  <c r="H28" i="1"/>
  <c r="Z28" i="1"/>
  <c r="Z73" i="1" s="1"/>
  <c r="Z74" i="1" s="1"/>
  <c r="R28" i="1"/>
  <c r="R73" i="1" s="1"/>
  <c r="R74" i="1" s="1"/>
  <c r="J28" i="1"/>
  <c r="J56" i="1" s="1"/>
  <c r="J57" i="1" s="1"/>
  <c r="AC28" i="1"/>
  <c r="AC73" i="1" s="1"/>
  <c r="AC74" i="1" s="1"/>
  <c r="M28" i="1"/>
  <c r="M73" i="1" s="1"/>
  <c r="M74" i="1" s="1"/>
  <c r="G28" i="1"/>
  <c r="G56" i="1" s="1"/>
  <c r="G57" i="1" s="1"/>
  <c r="AA28" i="1"/>
  <c r="W28" i="1"/>
  <c r="W73" i="1" s="1"/>
  <c r="W74" i="1" s="1"/>
  <c r="S28" i="1"/>
  <c r="S73" i="1" s="1"/>
  <c r="S74" i="1" s="1"/>
  <c r="O28" i="1"/>
  <c r="O73" i="1" s="1"/>
  <c r="O74" i="1" s="1"/>
  <c r="F28" i="1"/>
  <c r="F73" i="1" s="1"/>
  <c r="F74" i="1" s="1"/>
  <c r="F29" i="1"/>
  <c r="F35" i="1" s="1"/>
  <c r="F36" i="1" s="1"/>
  <c r="Y29" i="1"/>
  <c r="Y35" i="1" s="1"/>
  <c r="Y36" i="1" s="1"/>
  <c r="U29" i="1"/>
  <c r="U35" i="1" s="1"/>
  <c r="U36" i="1" s="1"/>
  <c r="Q29" i="1"/>
  <c r="Q35" i="1" s="1"/>
  <c r="Q36" i="1" s="1"/>
  <c r="M29" i="1"/>
  <c r="M35" i="1" s="1"/>
  <c r="M36" i="1" s="1"/>
  <c r="AD29" i="1"/>
  <c r="AD35" i="1" s="1"/>
  <c r="AD36" i="1" s="1"/>
  <c r="AA29" i="1"/>
  <c r="AA35" i="1" s="1"/>
  <c r="AA36" i="1" s="1"/>
  <c r="AC29" i="1"/>
  <c r="AC35" i="1" s="1"/>
  <c r="AC36" i="1" s="1"/>
  <c r="V28" i="1"/>
  <c r="V73" i="1" s="1"/>
  <c r="V74" i="1" s="1"/>
  <c r="V29" i="1"/>
  <c r="V35" i="1" s="1"/>
  <c r="V36" i="1" s="1"/>
  <c r="R29" i="1"/>
  <c r="R47" i="1" s="1"/>
  <c r="R48" i="1" s="1"/>
  <c r="N29" i="1"/>
  <c r="N35" i="1" s="1"/>
  <c r="N36" i="1" s="1"/>
  <c r="G29" i="1"/>
  <c r="G47" i="1" s="1"/>
  <c r="G48" i="1" s="1"/>
  <c r="I28" i="1"/>
  <c r="I73" i="1" s="1"/>
  <c r="I74" i="1" s="1"/>
  <c r="I29" i="1"/>
  <c r="I47" i="1" s="1"/>
  <c r="I48" i="1" s="1"/>
  <c r="J29" i="1"/>
  <c r="J47" i="1" s="1"/>
  <c r="J48" i="1" s="1"/>
  <c r="H73" i="1"/>
  <c r="H74" i="1" s="1"/>
  <c r="K41" i="1"/>
  <c r="K35" i="1"/>
  <c r="K36" i="1" s="1"/>
  <c r="F70" i="1"/>
  <c r="K28" i="1"/>
  <c r="K73" i="1" s="1"/>
  <c r="K74" i="1" s="1"/>
  <c r="S56" i="1"/>
  <c r="S57" i="1" s="1"/>
  <c r="Y28" i="1"/>
  <c r="Y73" i="1" s="1"/>
  <c r="Y74" i="1" s="1"/>
  <c r="U28" i="1"/>
  <c r="U73" i="1" s="1"/>
  <c r="U74" i="1" s="1"/>
  <c r="AD56" i="1"/>
  <c r="AD57" i="1" s="1"/>
  <c r="Y47" i="1"/>
  <c r="Y48" i="1" s="1"/>
  <c r="AB47" i="1"/>
  <c r="AB48" i="1" s="1"/>
  <c r="X47" i="1"/>
  <c r="X48" i="1" s="1"/>
  <c r="L47" i="1"/>
  <c r="L48" i="1" s="1"/>
  <c r="K42" i="1" l="1"/>
  <c r="F43" i="1" s="1"/>
  <c r="F61" i="1" s="1"/>
  <c r="W47" i="1"/>
  <c r="W48" i="1" s="1"/>
  <c r="S47" i="1"/>
  <c r="S48" i="1" s="1"/>
  <c r="O47" i="1"/>
  <c r="O48" i="1" s="1"/>
  <c r="F47" i="1"/>
  <c r="F48" i="1" s="1"/>
  <c r="P47" i="1"/>
  <c r="P48" i="1" s="1"/>
  <c r="T47" i="1"/>
  <c r="T48" i="1" s="1"/>
  <c r="AC47" i="1"/>
  <c r="AC48" i="1" s="1"/>
  <c r="R35" i="1"/>
  <c r="R36" i="1" s="1"/>
  <c r="U47" i="1"/>
  <c r="U48" i="1" s="1"/>
  <c r="AA73" i="1"/>
  <c r="AA74" i="1" s="1"/>
  <c r="AA56" i="1"/>
  <c r="AA57" i="1" s="1"/>
  <c r="F56" i="1"/>
  <c r="F57" i="1" s="1"/>
  <c r="X56" i="1"/>
  <c r="X57" i="1" s="1"/>
  <c r="L56" i="1"/>
  <c r="L57" i="1" s="1"/>
  <c r="AB56" i="1"/>
  <c r="AB57" i="1" s="1"/>
  <c r="P56" i="1"/>
  <c r="P57" i="1" s="1"/>
  <c r="Z56" i="1"/>
  <c r="Z57" i="1" s="1"/>
  <c r="T56" i="1"/>
  <c r="T57" i="1" s="1"/>
  <c r="O56" i="1"/>
  <c r="O57" i="1" s="1"/>
  <c r="N47" i="1"/>
  <c r="N48" i="1" s="1"/>
  <c r="V56" i="1"/>
  <c r="V57" i="1" s="1"/>
  <c r="M47" i="1"/>
  <c r="M48" i="1" s="1"/>
  <c r="Z47" i="1"/>
  <c r="Z48" i="1" s="1"/>
  <c r="R56" i="1"/>
  <c r="R57" i="1" s="1"/>
  <c r="I35" i="1"/>
  <c r="I36" i="1" s="1"/>
  <c r="N56" i="1"/>
  <c r="N57" i="1" s="1"/>
  <c r="AA47" i="1"/>
  <c r="AA48" i="1" s="1"/>
  <c r="G73" i="1"/>
  <c r="G74" i="1" s="1"/>
  <c r="Q47" i="1"/>
  <c r="Q48" i="1" s="1"/>
  <c r="AD47" i="1"/>
  <c r="AD48" i="1" s="1"/>
  <c r="V47" i="1"/>
  <c r="V48" i="1" s="1"/>
  <c r="I56" i="1"/>
  <c r="I57" i="1" s="1"/>
  <c r="H56" i="1"/>
  <c r="H57" i="1" s="1"/>
  <c r="H35" i="1"/>
  <c r="H36" i="1" s="1"/>
  <c r="J35" i="1"/>
  <c r="J36" i="1" s="1"/>
  <c r="G35" i="1"/>
  <c r="G36" i="1" s="1"/>
  <c r="J73" i="1"/>
  <c r="J74" i="1" s="1"/>
  <c r="Y56" i="1"/>
  <c r="Y57" i="1" s="1"/>
  <c r="K56" i="1"/>
  <c r="K57" i="1" s="1"/>
  <c r="M56" i="1"/>
  <c r="M57" i="1" s="1"/>
  <c r="AC56" i="1"/>
  <c r="AC57" i="1" s="1"/>
  <c r="W56" i="1"/>
  <c r="W57" i="1" s="1"/>
  <c r="U56" i="1"/>
  <c r="U57" i="1" s="1"/>
  <c r="Q56" i="1"/>
  <c r="Q57" i="1" s="1"/>
  <c r="F75" i="1" l="1"/>
  <c r="F49" i="1"/>
  <c r="F37" i="1"/>
  <c r="F58" i="1"/>
  <c r="F6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tc={9872F498-544C-495D-9ED6-ED3BC9AEC0BE}</author>
    <author>tc={8DDFA6E3-6DF2-432E-BA24-5066F43318CE}</author>
  </authors>
  <commentList>
    <comment ref="A21" authorId="0" shapeId="0" xr:uid="{9872F498-544C-495D-9ED6-ED3BC9AEC0BE}">
      <text>
        <t>[Threaded comment]
Your version of Excel allows you to read this threaded comment; however, any edits to it will get removed if the file is opened in a newer version of Excel. Learn more: https://go.microsoft.com/fwlink/?linkid=870924
Comment:
    Can Enbridge modify the spreadsheet to convert the one-time pipeline cost into an annual revenue requirement, assuming pipeline lifetime of 20 years?</t>
      </text>
    </comment>
    <comment ref="A68" authorId="1" shapeId="0" xr:uid="{8DDFA6E3-6DF2-432E-BA24-5066F43318CE}">
      <text>
        <t>[Threaded comment]
Your version of Excel allows you to read this threaded comment; however, any edits to it will get removed if the file is opened in a newer version of Excel. Learn more: https://go.microsoft.com/fwlink/?linkid=870924
Comment:
    Calculations would be adjusted to use pipeline annual revenue requirement instead of lump sum
Reply:
    If Chris Neme confirms that he agrees with this approach</t>
      </text>
    </comment>
  </commentList>
</comments>
</file>

<file path=xl/sharedStrings.xml><?xml version="1.0" encoding="utf-8"?>
<sst xmlns="http://schemas.openxmlformats.org/spreadsheetml/2006/main" count="55" uniqueCount="35">
  <si>
    <t>Project year</t>
  </si>
  <si>
    <t>Gas Commodity Rate ($/m3)</t>
  </si>
  <si>
    <t>Gas T&amp;D Rate ($/m3)</t>
  </si>
  <si>
    <t>In-Year Net Benefit</t>
  </si>
  <si>
    <t>Inflation Rate</t>
  </si>
  <si>
    <t>RIM: Net Benefits of EE Measure (Relative to Pipeline Reinforcement)</t>
  </si>
  <si>
    <t>DCF Phase 1 Net Benefit of EE Measure (Relative to Do-Nothing)</t>
  </si>
  <si>
    <t>Project NPV</t>
  </si>
  <si>
    <t>DCF Phase 1 Net Benefit of Pipeline Reinforcement (Relative to Do-Nothing)</t>
  </si>
  <si>
    <t>The RIM test is functionally equivalent to the DCF Phase 1 test (NPV calculated by the RIM test equals difference between the NPV calculated by DCF Phase 1 between the two options)</t>
  </si>
  <si>
    <t>A RIM &gt;0 indicates that the EE measure is the preferred solution, as does a higher (less negative) NPV for the EE measure than the pipeline under DCF Phase 1</t>
  </si>
  <si>
    <t>Chris Neme Phase 2 (Pipeline)</t>
  </si>
  <si>
    <t>Chris Neme Phase 2 (EE)</t>
  </si>
  <si>
    <t>Customer Commodity Bill Savings (dollars)</t>
  </si>
  <si>
    <t>Incremental Customer Spending on EE (net of Incentives)</t>
  </si>
  <si>
    <t>Annual EE Program Admin Costs</t>
  </si>
  <si>
    <t>Annual Incentives from Enbridge to Customers for EE</t>
  </si>
  <si>
    <t>One-time Pipeline cost</t>
  </si>
  <si>
    <t>Annual Costs and Benefits</t>
  </si>
  <si>
    <t>Annual Gas Savings from EE (when program fully implemented) (m3)</t>
  </si>
  <si>
    <t>Annual Gas Savings from EE (m3)</t>
  </si>
  <si>
    <t>Lifetime of EE Measures (years)</t>
  </si>
  <si>
    <t>Lost Utility Revenues (dollars)</t>
  </si>
  <si>
    <t>Weighted Average Cost of Capital</t>
  </si>
  <si>
    <t>Customer/Societal Discount Rate</t>
  </si>
  <si>
    <t>In-Year NPV (discounted at WACC)</t>
  </si>
  <si>
    <t>Input Assumptions (All Costs in Real Year Zero $)</t>
  </si>
  <si>
    <t>In-Year Net Benefit (nominal $)</t>
  </si>
  <si>
    <t>Enbridge DCF Phase 2 Incremental Benefits of EE Measure (Relative to Do-Nothing)</t>
  </si>
  <si>
    <t>Annual Revenue Requirement Associated With Pipeline</t>
  </si>
  <si>
    <t>In-Year NPV (discounted at societal discount rate)</t>
  </si>
  <si>
    <t>Project NPV (add project NPV from phase 1 and phase 2)</t>
  </si>
  <si>
    <t>Enbridge DCF Phase 1+ Phase 2 (Pipeline)</t>
  </si>
  <si>
    <t>Enbridge DCF Phase 1 + Phase 2 (EE)</t>
  </si>
  <si>
    <t>Simplified DCF+ Example: Pipeline vs. Geotargeted Energy Efficiency IRPA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</si>
</sst>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9" fontId="0" fillId="0" borderId="0" xfId="0" applyNumberFormat="1"/>
    <xf numFmtId="0" fontId="1" fillId="0" borderId="0" xfId="0" applyFont="1"/>
    <xf numFmtId="0" fontId="0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ichael Parkes" id="{229B474D-B77E-4CC3-B907-11006D0A80AA}" userId="S::Parkesmi@oeb.ca::1b24df30-e782-4d20-ae44-8ce28b8c0da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1" dT="2022-09-01T15:57:27.26" personId="{229B474D-B77E-4CC3-B907-11006D0A80AA}" id="{9872F498-544C-495D-9ED6-ED3BC9AEC0BE}">
    <text>Can Enbridge modify the spreadsheet to convert the one-time pipeline cost into an annual revenue requirement, assuming pipeline lifetime of 20 years?</text>
  </threadedComment>
  <threadedComment ref="A68" dT="2022-09-01T15:58:38.00" personId="{229B474D-B77E-4CC3-B907-11006D0A80AA}" id="{8DDFA6E3-6DF2-432E-BA24-5066F43318CE}">
    <text>Calculations would be adjusted to use pipeline annual revenue requirement instead of lump sum</text>
  </threadedComment>
  <threadedComment ref="A68" dT="2022-09-01T19:56:56.13" personId="{229B474D-B77E-4CC3-B907-11006D0A80AA}" id="{ADC1DEED-09CC-4B4A-BCC9-D7167AFAA5F0}" parentId="{8DDFA6E3-6DF2-432E-BA24-5066F43318CE}">
    <text>If Chris Neme confirms that he agrees with this approach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785B3-B0D6-48BC-B33E-717EBC3D96CE}">
  <dimension ref="A1:AD75"/>
  <sheetViews>
    <sheetView tabSelected="1" topLeftCell="A43" workbookViewId="0">
      <selection activeCell="G26" sqref="G26"/>
    </sheetView>
  </sheetViews>
  <sheetFormatPr defaultRowHeight="14.25" x14ac:dyDescent="0.45"/>
  <cols>
    <col min="1" max="1" width="55.06640625" customWidth="1"/>
    <col min="5" max="5" width="14" customWidth="1"/>
    <col min="11" max="11" width="9.73046875" bestFit="1" customWidth="1"/>
  </cols>
  <sheetData>
    <row r="1" spans="1:2" x14ac:dyDescent="0.45">
      <c r="A1" s="4" t="s">
        <v>34</v>
      </c>
    </row>
    <row r="4" spans="1:2" x14ac:dyDescent="0.45">
      <c r="A4" s="2" t="s">
        <v>26</v>
      </c>
    </row>
    <row r="5" spans="1:2" x14ac:dyDescent="0.45">
      <c r="A5" t="s">
        <v>4</v>
      </c>
      <c r="B5" s="1">
        <v>0.02</v>
      </c>
    </row>
    <row r="6" spans="1:2" x14ac:dyDescent="0.45">
      <c r="A6" t="s">
        <v>23</v>
      </c>
      <c r="B6" s="1">
        <v>0.08</v>
      </c>
    </row>
    <row r="7" spans="1:2" x14ac:dyDescent="0.45">
      <c r="A7" t="s">
        <v>24</v>
      </c>
      <c r="B7" s="1">
        <v>0.04</v>
      </c>
    </row>
    <row r="8" spans="1:2" x14ac:dyDescent="0.45">
      <c r="B8" s="1"/>
    </row>
    <row r="9" spans="1:2" x14ac:dyDescent="0.45">
      <c r="A9" t="s">
        <v>17</v>
      </c>
      <c r="B9">
        <v>3000000</v>
      </c>
    </row>
    <row r="10" spans="1:2" x14ac:dyDescent="0.45">
      <c r="A10" t="s">
        <v>15</v>
      </c>
      <c r="B10">
        <v>100000</v>
      </c>
    </row>
    <row r="11" spans="1:2" x14ac:dyDescent="0.45">
      <c r="A11" t="s">
        <v>16</v>
      </c>
      <c r="B11">
        <v>400000</v>
      </c>
    </row>
    <row r="12" spans="1:2" x14ac:dyDescent="0.45">
      <c r="A12" t="s">
        <v>14</v>
      </c>
      <c r="B12">
        <v>1600000</v>
      </c>
    </row>
    <row r="13" spans="1:2" x14ac:dyDescent="0.45">
      <c r="A13" t="s">
        <v>1</v>
      </c>
      <c r="B13">
        <v>0.3</v>
      </c>
    </row>
    <row r="14" spans="1:2" x14ac:dyDescent="0.45">
      <c r="A14" t="s">
        <v>2</v>
      </c>
      <c r="B14">
        <v>0.1</v>
      </c>
    </row>
    <row r="15" spans="1:2" x14ac:dyDescent="0.45">
      <c r="A15" t="s">
        <v>19</v>
      </c>
      <c r="B15">
        <v>5000000</v>
      </c>
    </row>
    <row r="16" spans="1:2" x14ac:dyDescent="0.45">
      <c r="A16" t="s">
        <v>21</v>
      </c>
      <c r="B16">
        <v>20</v>
      </c>
    </row>
    <row r="18" spans="1:30" x14ac:dyDescent="0.45">
      <c r="A18" s="2" t="s">
        <v>18</v>
      </c>
    </row>
    <row r="19" spans="1:30" x14ac:dyDescent="0.45">
      <c r="A19" t="s">
        <v>0</v>
      </c>
      <c r="F19">
        <v>0</v>
      </c>
      <c r="G19">
        <v>1</v>
      </c>
      <c r="H19">
        <v>2</v>
      </c>
      <c r="I19">
        <v>3</v>
      </c>
      <c r="J19">
        <v>4</v>
      </c>
      <c r="K19">
        <v>5</v>
      </c>
      <c r="L19">
        <v>6</v>
      </c>
      <c r="M19">
        <v>7</v>
      </c>
      <c r="N19">
        <v>8</v>
      </c>
      <c r="O19">
        <v>9</v>
      </c>
      <c r="P19">
        <v>10</v>
      </c>
      <c r="Q19">
        <v>11</v>
      </c>
      <c r="R19">
        <v>12</v>
      </c>
      <c r="S19">
        <v>13</v>
      </c>
      <c r="T19">
        <v>14</v>
      </c>
      <c r="U19">
        <v>15</v>
      </c>
      <c r="V19">
        <v>16</v>
      </c>
      <c r="W19">
        <v>17</v>
      </c>
      <c r="X19">
        <v>18</v>
      </c>
      <c r="Y19">
        <v>19</v>
      </c>
      <c r="Z19">
        <v>20</v>
      </c>
      <c r="AA19">
        <v>21</v>
      </c>
      <c r="AB19">
        <v>22</v>
      </c>
      <c r="AC19">
        <v>23</v>
      </c>
      <c r="AD19">
        <v>24</v>
      </c>
    </row>
    <row r="20" spans="1:30" x14ac:dyDescent="0.45">
      <c r="A20" t="s">
        <v>17</v>
      </c>
      <c r="K20">
        <f>($B$9)* (1+$B$5)^K19</f>
        <v>3312242.4095999999</v>
      </c>
    </row>
    <row r="21" spans="1:30" x14ac:dyDescent="0.45">
      <c r="A21" t="s">
        <v>29</v>
      </c>
    </row>
    <row r="22" spans="1:30" x14ac:dyDescent="0.45">
      <c r="A22" t="s">
        <v>15</v>
      </c>
      <c r="F22">
        <f>($B$10)*(1+$B$5)^F$19</f>
        <v>100000</v>
      </c>
      <c r="G22">
        <f>($B$10)*(1+$B$5)^G$19</f>
        <v>102000</v>
      </c>
      <c r="H22">
        <f>($B$10)*(1+$B$5)^H$19</f>
        <v>104040</v>
      </c>
      <c r="I22">
        <f>($B$10)*(1+$B$5)^I$19</f>
        <v>106120.79999999999</v>
      </c>
      <c r="J22">
        <f>($B$10)*(1+$B$5)^J$19</f>
        <v>108243.216</v>
      </c>
    </row>
    <row r="23" spans="1:30" x14ac:dyDescent="0.45">
      <c r="A23" t="s">
        <v>16</v>
      </c>
      <c r="F23">
        <f>($B$11)*(1+$B$5)^F$19</f>
        <v>400000</v>
      </c>
      <c r="G23">
        <f>($B$11)*(1+$B$5)^G$19</f>
        <v>408000</v>
      </c>
      <c r="H23">
        <f>($B$11)*(1+$B$5)^H$19</f>
        <v>416160</v>
      </c>
      <c r="I23">
        <f>($B$11)*(1+$B$5)^I$19</f>
        <v>424483.19999999995</v>
      </c>
      <c r="J23">
        <f>($B$11)*(1+$B$5)^J$19</f>
        <v>432972.864</v>
      </c>
    </row>
    <row r="24" spans="1:30" x14ac:dyDescent="0.45">
      <c r="A24" t="s">
        <v>14</v>
      </c>
      <c r="F24">
        <f>($B$12)*(1+$B$5)^F$19</f>
        <v>1600000</v>
      </c>
      <c r="G24">
        <f>($B$12)*(1+$B$5)^G$19</f>
        <v>1632000</v>
      </c>
      <c r="H24">
        <f>($B$12)*(1+$B$5)^H$19</f>
        <v>1664640</v>
      </c>
      <c r="I24">
        <f>($B$12)*(1+$B$5)^I$19</f>
        <v>1697932.7999999998</v>
      </c>
      <c r="J24">
        <f>($B$12)*(1+$B$5)^J$19</f>
        <v>1731891.456</v>
      </c>
    </row>
    <row r="25" spans="1:30" x14ac:dyDescent="0.45">
      <c r="A25" t="s">
        <v>20</v>
      </c>
      <c r="F25">
        <f>0.2*$B$15</f>
        <v>1000000</v>
      </c>
      <c r="G25">
        <f>0.4*$B$15</f>
        <v>2000000</v>
      </c>
      <c r="H25">
        <f>0.6*$B$15</f>
        <v>3000000</v>
      </c>
      <c r="I25">
        <f>0.8*$B$15</f>
        <v>4000000</v>
      </c>
      <c r="J25">
        <f t="shared" ref="J25:Y25" si="0">1*$B$15</f>
        <v>5000000</v>
      </c>
      <c r="K25">
        <f t="shared" si="0"/>
        <v>5000000</v>
      </c>
      <c r="L25">
        <f t="shared" si="0"/>
        <v>5000000</v>
      </c>
      <c r="M25">
        <f t="shared" si="0"/>
        <v>5000000</v>
      </c>
      <c r="N25">
        <f t="shared" si="0"/>
        <v>5000000</v>
      </c>
      <c r="O25">
        <f t="shared" si="0"/>
        <v>5000000</v>
      </c>
      <c r="P25">
        <f t="shared" si="0"/>
        <v>5000000</v>
      </c>
      <c r="Q25">
        <f t="shared" si="0"/>
        <v>5000000</v>
      </c>
      <c r="R25">
        <f t="shared" si="0"/>
        <v>5000000</v>
      </c>
      <c r="S25">
        <f t="shared" si="0"/>
        <v>5000000</v>
      </c>
      <c r="T25">
        <f t="shared" si="0"/>
        <v>5000000</v>
      </c>
      <c r="U25">
        <f t="shared" si="0"/>
        <v>5000000</v>
      </c>
      <c r="V25">
        <f t="shared" si="0"/>
        <v>5000000</v>
      </c>
      <c r="W25">
        <f t="shared" si="0"/>
        <v>5000000</v>
      </c>
      <c r="X25">
        <f t="shared" si="0"/>
        <v>5000000</v>
      </c>
      <c r="Y25">
        <f t="shared" si="0"/>
        <v>5000000</v>
      </c>
      <c r="Z25">
        <f>0.8*$B$15</f>
        <v>4000000</v>
      </c>
      <c r="AA25">
        <f>0.6*$B$15</f>
        <v>3000000</v>
      </c>
      <c r="AB25">
        <f>0.4*$B$15</f>
        <v>2000000</v>
      </c>
      <c r="AC25">
        <f>0.2*$B$15</f>
        <v>1000000</v>
      </c>
      <c r="AD25">
        <f>0*$B$15</f>
        <v>0</v>
      </c>
    </row>
    <row r="26" spans="1:30" x14ac:dyDescent="0.45">
      <c r="A26" t="s">
        <v>1</v>
      </c>
      <c r="C26">
        <v>0.3</v>
      </c>
      <c r="F26">
        <f t="shared" ref="F26:AD26" si="1">$B$13*(1+$B$5)^F$19</f>
        <v>0.3</v>
      </c>
      <c r="G26">
        <f t="shared" si="1"/>
        <v>0.30599999999999999</v>
      </c>
      <c r="H26">
        <f t="shared" si="1"/>
        <v>0.31212000000000001</v>
      </c>
      <c r="I26">
        <f t="shared" si="1"/>
        <v>0.31836239999999999</v>
      </c>
      <c r="J26">
        <f t="shared" si="1"/>
        <v>0.32472964799999998</v>
      </c>
      <c r="K26">
        <f t="shared" si="1"/>
        <v>0.33122424095999997</v>
      </c>
      <c r="L26">
        <f t="shared" si="1"/>
        <v>0.3378487257792</v>
      </c>
      <c r="M26">
        <f t="shared" si="1"/>
        <v>0.34460570029478393</v>
      </c>
      <c r="N26">
        <f t="shared" si="1"/>
        <v>0.35149781430067967</v>
      </c>
      <c r="O26">
        <f t="shared" si="1"/>
        <v>0.35852777058669322</v>
      </c>
      <c r="P26">
        <f t="shared" si="1"/>
        <v>0.36569832599842711</v>
      </c>
      <c r="Q26">
        <f t="shared" si="1"/>
        <v>0.37301229251839557</v>
      </c>
      <c r="R26">
        <f t="shared" si="1"/>
        <v>0.38047253836876355</v>
      </c>
      <c r="S26">
        <f t="shared" si="1"/>
        <v>0.38808198913613884</v>
      </c>
      <c r="T26">
        <f t="shared" si="1"/>
        <v>0.39584362891886166</v>
      </c>
      <c r="U26">
        <f t="shared" si="1"/>
        <v>0.40376050149723874</v>
      </c>
      <c r="V26">
        <f t="shared" si="1"/>
        <v>0.41183571152718362</v>
      </c>
      <c r="W26">
        <f t="shared" si="1"/>
        <v>0.4200724257577273</v>
      </c>
      <c r="X26">
        <f t="shared" si="1"/>
        <v>0.42847387427288181</v>
      </c>
      <c r="Y26">
        <f t="shared" si="1"/>
        <v>0.43704335175833942</v>
      </c>
      <c r="Z26">
        <f t="shared" si="1"/>
        <v>0.44578421879350627</v>
      </c>
      <c r="AA26">
        <f t="shared" si="1"/>
        <v>0.45469990316937636</v>
      </c>
      <c r="AB26">
        <f t="shared" si="1"/>
        <v>0.46379390123276387</v>
      </c>
      <c r="AC26">
        <f t="shared" si="1"/>
        <v>0.47306977925741911</v>
      </c>
      <c r="AD26">
        <f t="shared" si="1"/>
        <v>0.48253117484256747</v>
      </c>
    </row>
    <row r="27" spans="1:30" x14ac:dyDescent="0.45">
      <c r="A27" t="s">
        <v>2</v>
      </c>
      <c r="C27">
        <v>0.1</v>
      </c>
      <c r="F27">
        <f t="shared" ref="F27:AD27" si="2">$B$14*(1+$B$5)^F$19</f>
        <v>0.1</v>
      </c>
      <c r="G27">
        <f t="shared" si="2"/>
        <v>0.10200000000000001</v>
      </c>
      <c r="H27">
        <f t="shared" si="2"/>
        <v>0.10404000000000001</v>
      </c>
      <c r="I27">
        <f t="shared" si="2"/>
        <v>0.1061208</v>
      </c>
      <c r="J27">
        <f t="shared" si="2"/>
        <v>0.108243216</v>
      </c>
      <c r="K27">
        <f t="shared" si="2"/>
        <v>0.11040808032</v>
      </c>
      <c r="L27">
        <f t="shared" si="2"/>
        <v>0.11261624192640002</v>
      </c>
      <c r="M27">
        <f t="shared" si="2"/>
        <v>0.11486856676492799</v>
      </c>
      <c r="N27">
        <f t="shared" si="2"/>
        <v>0.11716593810022656</v>
      </c>
      <c r="O27">
        <f t="shared" si="2"/>
        <v>0.11950925686223109</v>
      </c>
      <c r="P27">
        <f t="shared" si="2"/>
        <v>0.12189944199947572</v>
      </c>
      <c r="Q27">
        <f t="shared" si="2"/>
        <v>0.1243374308394652</v>
      </c>
      <c r="R27">
        <f t="shared" si="2"/>
        <v>0.12682417945625454</v>
      </c>
      <c r="S27">
        <f t="shared" si="2"/>
        <v>0.1293606630453796</v>
      </c>
      <c r="T27">
        <f t="shared" si="2"/>
        <v>0.13194787630628721</v>
      </c>
      <c r="U27">
        <f t="shared" si="2"/>
        <v>0.13458683383241293</v>
      </c>
      <c r="V27">
        <f t="shared" si="2"/>
        <v>0.1372785705090612</v>
      </c>
      <c r="W27">
        <f t="shared" si="2"/>
        <v>0.14002414191924245</v>
      </c>
      <c r="X27">
        <f t="shared" si="2"/>
        <v>0.14282462475762728</v>
      </c>
      <c r="Y27">
        <f t="shared" si="2"/>
        <v>0.14568111725277982</v>
      </c>
      <c r="Z27">
        <f t="shared" si="2"/>
        <v>0.14859473959783542</v>
      </c>
      <c r="AA27">
        <f t="shared" si="2"/>
        <v>0.15156663438979212</v>
      </c>
      <c r="AB27">
        <f t="shared" si="2"/>
        <v>0.15459796707758799</v>
      </c>
      <c r="AC27">
        <f t="shared" si="2"/>
        <v>0.1576899264191397</v>
      </c>
      <c r="AD27">
        <f t="shared" si="2"/>
        <v>0.16084372494752253</v>
      </c>
    </row>
    <row r="28" spans="1:30" x14ac:dyDescent="0.45">
      <c r="A28" t="s">
        <v>13</v>
      </c>
      <c r="F28">
        <f>F25*F26</f>
        <v>300000</v>
      </c>
      <c r="G28">
        <f t="shared" ref="G28:AD28" si="3">G25*G26</f>
        <v>612000</v>
      </c>
      <c r="H28">
        <f t="shared" si="3"/>
        <v>936360</v>
      </c>
      <c r="I28">
        <f t="shared" si="3"/>
        <v>1273449.5999999999</v>
      </c>
      <c r="J28">
        <f t="shared" si="3"/>
        <v>1623648.24</v>
      </c>
      <c r="K28">
        <f t="shared" si="3"/>
        <v>1656121.2047999999</v>
      </c>
      <c r="L28">
        <f t="shared" si="3"/>
        <v>1689243.6288960001</v>
      </c>
      <c r="M28">
        <f t="shared" si="3"/>
        <v>1723028.5014739197</v>
      </c>
      <c r="N28">
        <f t="shared" si="3"/>
        <v>1757489.0715033982</v>
      </c>
      <c r="O28">
        <f t="shared" si="3"/>
        <v>1792638.8529334662</v>
      </c>
      <c r="P28">
        <f t="shared" si="3"/>
        <v>1828491.6299921356</v>
      </c>
      <c r="Q28">
        <f t="shared" si="3"/>
        <v>1865061.4625919778</v>
      </c>
      <c r="R28">
        <f t="shared" si="3"/>
        <v>1902362.6918438177</v>
      </c>
      <c r="S28">
        <f t="shared" si="3"/>
        <v>1940409.9456806942</v>
      </c>
      <c r="T28">
        <f t="shared" si="3"/>
        <v>1979218.1445943082</v>
      </c>
      <c r="U28">
        <f t="shared" si="3"/>
        <v>2018802.5074861937</v>
      </c>
      <c r="V28">
        <f t="shared" si="3"/>
        <v>2059178.557635918</v>
      </c>
      <c r="W28">
        <f t="shared" si="3"/>
        <v>2100362.1287886365</v>
      </c>
      <c r="X28">
        <f t="shared" si="3"/>
        <v>2142369.3713644091</v>
      </c>
      <c r="Y28">
        <f t="shared" si="3"/>
        <v>2185216.7587916972</v>
      </c>
      <c r="Z28">
        <f t="shared" si="3"/>
        <v>1783136.8751740251</v>
      </c>
      <c r="AA28">
        <f t="shared" si="3"/>
        <v>1364099.7095081292</v>
      </c>
      <c r="AB28">
        <f t="shared" si="3"/>
        <v>927587.80246552778</v>
      </c>
      <c r="AC28">
        <f t="shared" si="3"/>
        <v>473069.77925741911</v>
      </c>
      <c r="AD28">
        <f t="shared" si="3"/>
        <v>0</v>
      </c>
    </row>
    <row r="29" spans="1:30" x14ac:dyDescent="0.45">
      <c r="A29" t="s">
        <v>22</v>
      </c>
      <c r="F29">
        <f>F25*F27</f>
        <v>100000</v>
      </c>
      <c r="G29">
        <f t="shared" ref="G29:AD29" si="4">G25*G27</f>
        <v>204000.00000000003</v>
      </c>
      <c r="H29">
        <f t="shared" si="4"/>
        <v>312120</v>
      </c>
      <c r="I29">
        <f t="shared" si="4"/>
        <v>424483.2</v>
      </c>
      <c r="J29">
        <f t="shared" si="4"/>
        <v>541216.07999999996</v>
      </c>
      <c r="K29">
        <f t="shared" si="4"/>
        <v>552040.40159999998</v>
      </c>
      <c r="L29">
        <f t="shared" si="4"/>
        <v>563081.20963200007</v>
      </c>
      <c r="M29">
        <f t="shared" si="4"/>
        <v>574342.83382463991</v>
      </c>
      <c r="N29">
        <f t="shared" si="4"/>
        <v>585829.69050113275</v>
      </c>
      <c r="O29">
        <f t="shared" si="4"/>
        <v>597546.28431115544</v>
      </c>
      <c r="P29">
        <f t="shared" si="4"/>
        <v>609497.20999737864</v>
      </c>
      <c r="Q29">
        <f t="shared" si="4"/>
        <v>621687.15419732605</v>
      </c>
      <c r="R29">
        <f t="shared" si="4"/>
        <v>634120.89728127269</v>
      </c>
      <c r="S29">
        <f t="shared" si="4"/>
        <v>646803.31522689806</v>
      </c>
      <c r="T29">
        <f t="shared" si="4"/>
        <v>659739.381531436</v>
      </c>
      <c r="U29">
        <f t="shared" si="4"/>
        <v>672934.16916206467</v>
      </c>
      <c r="V29">
        <f t="shared" si="4"/>
        <v>686392.85254530597</v>
      </c>
      <c r="W29">
        <f t="shared" si="4"/>
        <v>700120.70959621225</v>
      </c>
      <c r="X29">
        <f t="shared" si="4"/>
        <v>714123.12378813641</v>
      </c>
      <c r="Y29">
        <f t="shared" si="4"/>
        <v>728405.58626389911</v>
      </c>
      <c r="Z29">
        <f t="shared" si="4"/>
        <v>594378.95839134173</v>
      </c>
      <c r="AA29">
        <f t="shared" si="4"/>
        <v>454699.90316937637</v>
      </c>
      <c r="AB29">
        <f t="shared" si="4"/>
        <v>309195.93415517599</v>
      </c>
      <c r="AC29">
        <f t="shared" si="4"/>
        <v>157689.92641913969</v>
      </c>
      <c r="AD29">
        <f t="shared" si="4"/>
        <v>0</v>
      </c>
    </row>
    <row r="30" spans="1:30" x14ac:dyDescent="0.45">
      <c r="C30" s="1"/>
    </row>
    <row r="31" spans="1:30" x14ac:dyDescent="0.45">
      <c r="C31" s="1"/>
    </row>
    <row r="32" spans="1:30" x14ac:dyDescent="0.45">
      <c r="C32" s="1"/>
    </row>
    <row r="33" spans="1:30" x14ac:dyDescent="0.45">
      <c r="A33" s="2" t="s">
        <v>5</v>
      </c>
    </row>
    <row r="34" spans="1:30" x14ac:dyDescent="0.45">
      <c r="A34" s="2"/>
    </row>
    <row r="35" spans="1:30" x14ac:dyDescent="0.45">
      <c r="A35" t="s">
        <v>27</v>
      </c>
      <c r="F35">
        <f t="shared" ref="F35:AD35" si="5">F20-(F22+F23+F29)</f>
        <v>-600000</v>
      </c>
      <c r="G35">
        <f t="shared" si="5"/>
        <v>-714000</v>
      </c>
      <c r="H35">
        <f t="shared" si="5"/>
        <v>-832320</v>
      </c>
      <c r="I35">
        <f t="shared" si="5"/>
        <v>-955087.2</v>
      </c>
      <c r="J35">
        <f t="shared" si="5"/>
        <v>-1082432.1599999999</v>
      </c>
      <c r="K35">
        <f t="shared" si="5"/>
        <v>2760202.0079999999</v>
      </c>
      <c r="L35">
        <f t="shared" si="5"/>
        <v>-563081.20963200007</v>
      </c>
      <c r="M35">
        <f t="shared" si="5"/>
        <v>-574342.83382463991</v>
      </c>
      <c r="N35">
        <f t="shared" si="5"/>
        <v>-585829.69050113275</v>
      </c>
      <c r="O35">
        <f t="shared" si="5"/>
        <v>-597546.28431115544</v>
      </c>
      <c r="P35">
        <f t="shared" si="5"/>
        <v>-609497.20999737864</v>
      </c>
      <c r="Q35">
        <f t="shared" si="5"/>
        <v>-621687.15419732605</v>
      </c>
      <c r="R35">
        <f t="shared" si="5"/>
        <v>-634120.89728127269</v>
      </c>
      <c r="S35">
        <f t="shared" si="5"/>
        <v>-646803.31522689806</v>
      </c>
      <c r="T35">
        <f t="shared" si="5"/>
        <v>-659739.381531436</v>
      </c>
      <c r="U35">
        <f t="shared" si="5"/>
        <v>-672934.16916206467</v>
      </c>
      <c r="V35">
        <f t="shared" si="5"/>
        <v>-686392.85254530597</v>
      </c>
      <c r="W35">
        <f t="shared" si="5"/>
        <v>-700120.70959621225</v>
      </c>
      <c r="X35">
        <f t="shared" si="5"/>
        <v>-714123.12378813641</v>
      </c>
      <c r="Y35">
        <f t="shared" si="5"/>
        <v>-728405.58626389911</v>
      </c>
      <c r="Z35">
        <f t="shared" si="5"/>
        <v>-594378.95839134173</v>
      </c>
      <c r="AA35">
        <f t="shared" si="5"/>
        <v>-454699.90316937637</v>
      </c>
      <c r="AB35">
        <f t="shared" si="5"/>
        <v>-309195.93415517599</v>
      </c>
      <c r="AC35">
        <f t="shared" si="5"/>
        <v>-157689.92641913969</v>
      </c>
      <c r="AD35">
        <f t="shared" si="5"/>
        <v>0</v>
      </c>
    </row>
    <row r="36" spans="1:30" x14ac:dyDescent="0.45">
      <c r="A36" t="s">
        <v>25</v>
      </c>
      <c r="F36">
        <f t="shared" ref="F36:AD36" si="6">F35*(1-$B$6)^F19</f>
        <v>-600000</v>
      </c>
      <c r="G36">
        <f t="shared" si="6"/>
        <v>-656880</v>
      </c>
      <c r="H36">
        <f t="shared" si="6"/>
        <v>-704475.64800000004</v>
      </c>
      <c r="I36">
        <f t="shared" si="6"/>
        <v>-743714.94159359997</v>
      </c>
      <c r="J36">
        <f t="shared" si="6"/>
        <v>-775446.77910159365</v>
      </c>
      <c r="K36">
        <f t="shared" si="6"/>
        <v>1819198.143772339</v>
      </c>
      <c r="L36">
        <f t="shared" si="6"/>
        <v>-341427.1076231926</v>
      </c>
      <c r="M36">
        <f t="shared" si="6"/>
        <v>-320395.19779360387</v>
      </c>
      <c r="N36">
        <f t="shared" si="6"/>
        <v>-300658.85360951792</v>
      </c>
      <c r="O36">
        <f t="shared" si="6"/>
        <v>-282138.26822717162</v>
      </c>
      <c r="P36">
        <f t="shared" si="6"/>
        <v>-264758.55090437795</v>
      </c>
      <c r="Q36">
        <f t="shared" si="6"/>
        <v>-248449.42416866816</v>
      </c>
      <c r="R36">
        <f t="shared" si="6"/>
        <v>-233144.93963987828</v>
      </c>
      <c r="S36">
        <f t="shared" si="6"/>
        <v>-218783.21135806176</v>
      </c>
      <c r="T36">
        <f t="shared" si="6"/>
        <v>-205306.16553840513</v>
      </c>
      <c r="U36">
        <f t="shared" si="6"/>
        <v>-192659.30574123937</v>
      </c>
      <c r="V36">
        <f t="shared" si="6"/>
        <v>-180791.49250757904</v>
      </c>
      <c r="W36">
        <f t="shared" si="6"/>
        <v>-169654.73656911222</v>
      </c>
      <c r="X36">
        <f t="shared" si="6"/>
        <v>-159204.00479645489</v>
      </c>
      <c r="Y36">
        <f t="shared" si="6"/>
        <v>-149397.03810099326</v>
      </c>
      <c r="Z36">
        <f t="shared" si="6"/>
        <v>-112155.34444317767</v>
      </c>
      <c r="AA36">
        <f t="shared" si="6"/>
        <v>-78934.931419108441</v>
      </c>
      <c r="AB36">
        <f t="shared" si="6"/>
        <v>-49381.693095794253</v>
      </c>
      <c r="AC36">
        <f t="shared" si="6"/>
        <v>-23169.890400546654</v>
      </c>
      <c r="AD36">
        <f t="shared" si="6"/>
        <v>0</v>
      </c>
    </row>
    <row r="37" spans="1:30" x14ac:dyDescent="0.45">
      <c r="A37" s="3" t="s">
        <v>7</v>
      </c>
      <c r="F37" s="2">
        <f>SUM(F36:AD36)</f>
        <v>-5191729.3808597364</v>
      </c>
    </row>
    <row r="38" spans="1:30" x14ac:dyDescent="0.45">
      <c r="A38" s="2"/>
    </row>
    <row r="39" spans="1:30" x14ac:dyDescent="0.45">
      <c r="A39" s="2" t="s">
        <v>8</v>
      </c>
    </row>
    <row r="41" spans="1:30" x14ac:dyDescent="0.45">
      <c r="A41" t="s">
        <v>3</v>
      </c>
      <c r="F41">
        <f t="shared" ref="F41:AD41" si="7">-F20</f>
        <v>0</v>
      </c>
      <c r="G41">
        <f t="shared" si="7"/>
        <v>0</v>
      </c>
      <c r="H41">
        <f t="shared" si="7"/>
        <v>0</v>
      </c>
      <c r="I41">
        <f t="shared" si="7"/>
        <v>0</v>
      </c>
      <c r="J41">
        <f t="shared" si="7"/>
        <v>0</v>
      </c>
      <c r="K41">
        <f t="shared" si="7"/>
        <v>-3312242.4095999999</v>
      </c>
      <c r="L41">
        <f t="shared" si="7"/>
        <v>0</v>
      </c>
      <c r="M41">
        <f t="shared" si="7"/>
        <v>0</v>
      </c>
      <c r="N41">
        <f t="shared" si="7"/>
        <v>0</v>
      </c>
      <c r="O41">
        <f t="shared" si="7"/>
        <v>0</v>
      </c>
      <c r="P41">
        <f t="shared" si="7"/>
        <v>0</v>
      </c>
      <c r="Q41">
        <f t="shared" si="7"/>
        <v>0</v>
      </c>
      <c r="R41">
        <f t="shared" si="7"/>
        <v>0</v>
      </c>
      <c r="S41">
        <f t="shared" si="7"/>
        <v>0</v>
      </c>
      <c r="T41">
        <f t="shared" si="7"/>
        <v>0</v>
      </c>
      <c r="U41">
        <f t="shared" si="7"/>
        <v>0</v>
      </c>
      <c r="V41">
        <f t="shared" si="7"/>
        <v>0</v>
      </c>
      <c r="W41">
        <f t="shared" si="7"/>
        <v>0</v>
      </c>
      <c r="X41">
        <f t="shared" si="7"/>
        <v>0</v>
      </c>
      <c r="Y41">
        <f t="shared" si="7"/>
        <v>0</v>
      </c>
      <c r="Z41">
        <f t="shared" si="7"/>
        <v>0</v>
      </c>
      <c r="AA41">
        <f t="shared" si="7"/>
        <v>0</v>
      </c>
      <c r="AB41">
        <f t="shared" si="7"/>
        <v>0</v>
      </c>
      <c r="AC41">
        <f t="shared" si="7"/>
        <v>0</v>
      </c>
      <c r="AD41">
        <f t="shared" si="7"/>
        <v>0</v>
      </c>
    </row>
    <row r="42" spans="1:30" x14ac:dyDescent="0.45">
      <c r="A42" t="s">
        <v>25</v>
      </c>
      <c r="F42">
        <f>F41*(1-$B$6)^F19</f>
        <v>0</v>
      </c>
      <c r="G42">
        <f t="shared" ref="G42:AD42" si="8">G41*(1-$B$6)^G19</f>
        <v>0</v>
      </c>
      <c r="H42">
        <f t="shared" si="8"/>
        <v>0</v>
      </c>
      <c r="I42">
        <f t="shared" si="8"/>
        <v>0</v>
      </c>
      <c r="J42">
        <f t="shared" si="8"/>
        <v>0</v>
      </c>
      <c r="K42">
        <f t="shared" si="8"/>
        <v>-2183037.7725268067</v>
      </c>
      <c r="L42">
        <f t="shared" si="8"/>
        <v>0</v>
      </c>
      <c r="M42">
        <f t="shared" si="8"/>
        <v>0</v>
      </c>
      <c r="N42">
        <f t="shared" si="8"/>
        <v>0</v>
      </c>
      <c r="O42">
        <f t="shared" si="8"/>
        <v>0</v>
      </c>
      <c r="P42">
        <f t="shared" si="8"/>
        <v>0</v>
      </c>
      <c r="Q42">
        <f t="shared" si="8"/>
        <v>0</v>
      </c>
      <c r="R42">
        <f t="shared" si="8"/>
        <v>0</v>
      </c>
      <c r="S42">
        <f t="shared" si="8"/>
        <v>0</v>
      </c>
      <c r="T42">
        <f t="shared" si="8"/>
        <v>0</v>
      </c>
      <c r="U42">
        <f t="shared" si="8"/>
        <v>0</v>
      </c>
      <c r="V42">
        <f t="shared" si="8"/>
        <v>0</v>
      </c>
      <c r="W42">
        <f t="shared" si="8"/>
        <v>0</v>
      </c>
      <c r="X42">
        <f t="shared" si="8"/>
        <v>0</v>
      </c>
      <c r="Y42">
        <f t="shared" si="8"/>
        <v>0</v>
      </c>
      <c r="Z42">
        <f t="shared" si="8"/>
        <v>0</v>
      </c>
      <c r="AA42">
        <f t="shared" si="8"/>
        <v>0</v>
      </c>
      <c r="AB42">
        <f t="shared" si="8"/>
        <v>0</v>
      </c>
      <c r="AC42">
        <f t="shared" si="8"/>
        <v>0</v>
      </c>
      <c r="AD42">
        <f t="shared" si="8"/>
        <v>0</v>
      </c>
    </row>
    <row r="43" spans="1:30" x14ac:dyDescent="0.45">
      <c r="A43" s="3" t="s">
        <v>7</v>
      </c>
      <c r="F43" s="2">
        <f>SUM(F42:AD42)</f>
        <v>-2183037.7725268067</v>
      </c>
    </row>
    <row r="45" spans="1:30" x14ac:dyDescent="0.45">
      <c r="A45" s="2" t="s">
        <v>6</v>
      </c>
    </row>
    <row r="47" spans="1:30" x14ac:dyDescent="0.45">
      <c r="A47" t="s">
        <v>3</v>
      </c>
      <c r="F47">
        <f t="shared" ref="F47:AD47" si="9">-(F22+F23+F29)</f>
        <v>-600000</v>
      </c>
      <c r="G47">
        <f t="shared" si="9"/>
        <v>-714000</v>
      </c>
      <c r="H47">
        <f t="shared" si="9"/>
        <v>-832320</v>
      </c>
      <c r="I47">
        <f t="shared" si="9"/>
        <v>-955087.2</v>
      </c>
      <c r="J47">
        <f t="shared" si="9"/>
        <v>-1082432.1599999999</v>
      </c>
      <c r="K47">
        <f t="shared" si="9"/>
        <v>-552040.40159999998</v>
      </c>
      <c r="L47">
        <f t="shared" si="9"/>
        <v>-563081.20963200007</v>
      </c>
      <c r="M47">
        <f t="shared" si="9"/>
        <v>-574342.83382463991</v>
      </c>
      <c r="N47">
        <f t="shared" si="9"/>
        <v>-585829.69050113275</v>
      </c>
      <c r="O47">
        <f t="shared" si="9"/>
        <v>-597546.28431115544</v>
      </c>
      <c r="P47">
        <f t="shared" si="9"/>
        <v>-609497.20999737864</v>
      </c>
      <c r="Q47">
        <f t="shared" si="9"/>
        <v>-621687.15419732605</v>
      </c>
      <c r="R47">
        <f t="shared" si="9"/>
        <v>-634120.89728127269</v>
      </c>
      <c r="S47">
        <f t="shared" si="9"/>
        <v>-646803.31522689806</v>
      </c>
      <c r="T47">
        <f t="shared" si="9"/>
        <v>-659739.381531436</v>
      </c>
      <c r="U47">
        <f t="shared" si="9"/>
        <v>-672934.16916206467</v>
      </c>
      <c r="V47">
        <f t="shared" si="9"/>
        <v>-686392.85254530597</v>
      </c>
      <c r="W47">
        <f t="shared" si="9"/>
        <v>-700120.70959621225</v>
      </c>
      <c r="X47">
        <f t="shared" si="9"/>
        <v>-714123.12378813641</v>
      </c>
      <c r="Y47">
        <f t="shared" si="9"/>
        <v>-728405.58626389911</v>
      </c>
      <c r="Z47">
        <f t="shared" si="9"/>
        <v>-594378.95839134173</v>
      </c>
      <c r="AA47">
        <f t="shared" si="9"/>
        <v>-454699.90316937637</v>
      </c>
      <c r="AB47">
        <f t="shared" si="9"/>
        <v>-309195.93415517599</v>
      </c>
      <c r="AC47">
        <f t="shared" si="9"/>
        <v>-157689.92641913969</v>
      </c>
      <c r="AD47">
        <f t="shared" si="9"/>
        <v>0</v>
      </c>
    </row>
    <row r="48" spans="1:30" x14ac:dyDescent="0.45">
      <c r="A48" t="s">
        <v>25</v>
      </c>
      <c r="F48">
        <f>F47*(1-$B$6)^F19</f>
        <v>-600000</v>
      </c>
      <c r="G48">
        <f t="shared" ref="G48:AD48" si="10">G47*(1-$B$6)^G19</f>
        <v>-656880</v>
      </c>
      <c r="H48">
        <f t="shared" si="10"/>
        <v>-704475.64800000004</v>
      </c>
      <c r="I48">
        <f t="shared" si="10"/>
        <v>-743714.94159359997</v>
      </c>
      <c r="J48">
        <f t="shared" si="10"/>
        <v>-775446.77910159365</v>
      </c>
      <c r="K48">
        <f t="shared" si="10"/>
        <v>-363839.62875446776</v>
      </c>
      <c r="L48">
        <f t="shared" si="10"/>
        <v>-341427.1076231926</v>
      </c>
      <c r="M48">
        <f t="shared" si="10"/>
        <v>-320395.19779360387</v>
      </c>
      <c r="N48">
        <f t="shared" si="10"/>
        <v>-300658.85360951792</v>
      </c>
      <c r="O48">
        <f t="shared" si="10"/>
        <v>-282138.26822717162</v>
      </c>
      <c r="P48">
        <f t="shared" si="10"/>
        <v>-264758.55090437795</v>
      </c>
      <c r="Q48">
        <f t="shared" si="10"/>
        <v>-248449.42416866816</v>
      </c>
      <c r="R48">
        <f t="shared" si="10"/>
        <v>-233144.93963987828</v>
      </c>
      <c r="S48">
        <f t="shared" si="10"/>
        <v>-218783.21135806176</v>
      </c>
      <c r="T48">
        <f t="shared" si="10"/>
        <v>-205306.16553840513</v>
      </c>
      <c r="U48">
        <f t="shared" si="10"/>
        <v>-192659.30574123937</v>
      </c>
      <c r="V48">
        <f t="shared" si="10"/>
        <v>-180791.49250757904</v>
      </c>
      <c r="W48">
        <f t="shared" si="10"/>
        <v>-169654.73656911222</v>
      </c>
      <c r="X48">
        <f t="shared" si="10"/>
        <v>-159204.00479645489</v>
      </c>
      <c r="Y48">
        <f t="shared" si="10"/>
        <v>-149397.03810099326</v>
      </c>
      <c r="Z48">
        <f t="shared" si="10"/>
        <v>-112155.34444317767</v>
      </c>
      <c r="AA48">
        <f t="shared" si="10"/>
        <v>-78934.931419108441</v>
      </c>
      <c r="AB48">
        <f t="shared" si="10"/>
        <v>-49381.693095794253</v>
      </c>
      <c r="AC48">
        <f t="shared" si="10"/>
        <v>-23169.890400546654</v>
      </c>
      <c r="AD48">
        <f t="shared" si="10"/>
        <v>0</v>
      </c>
    </row>
    <row r="49" spans="1:30" x14ac:dyDescent="0.45">
      <c r="A49" s="3" t="s">
        <v>7</v>
      </c>
      <c r="F49" s="2">
        <f>SUM(F48:AD48)</f>
        <v>-7374767.1533865435</v>
      </c>
    </row>
    <row r="51" spans="1:30" x14ac:dyDescent="0.45">
      <c r="A51" t="s">
        <v>9</v>
      </c>
    </row>
    <row r="52" spans="1:30" x14ac:dyDescent="0.45">
      <c r="A52" t="s">
        <v>10</v>
      </c>
    </row>
    <row r="54" spans="1:30" x14ac:dyDescent="0.45">
      <c r="A54" s="2" t="s">
        <v>28</v>
      </c>
    </row>
    <row r="56" spans="1:30" x14ac:dyDescent="0.45">
      <c r="A56" t="s">
        <v>3</v>
      </c>
      <c r="F56">
        <f t="shared" ref="F56:AD56" si="11">F28-F24</f>
        <v>-1300000</v>
      </c>
      <c r="G56">
        <f t="shared" si="11"/>
        <v>-1020000</v>
      </c>
      <c r="H56">
        <f t="shared" si="11"/>
        <v>-728280</v>
      </c>
      <c r="I56">
        <f t="shared" si="11"/>
        <v>-424483.19999999995</v>
      </c>
      <c r="J56">
        <f t="shared" si="11"/>
        <v>-108243.21600000001</v>
      </c>
      <c r="K56">
        <f t="shared" si="11"/>
        <v>1656121.2047999999</v>
      </c>
      <c r="L56">
        <f t="shared" si="11"/>
        <v>1689243.6288960001</v>
      </c>
      <c r="M56">
        <f t="shared" si="11"/>
        <v>1723028.5014739197</v>
      </c>
      <c r="N56">
        <f t="shared" si="11"/>
        <v>1757489.0715033982</v>
      </c>
      <c r="O56">
        <f t="shared" si="11"/>
        <v>1792638.8529334662</v>
      </c>
      <c r="P56">
        <f t="shared" si="11"/>
        <v>1828491.6299921356</v>
      </c>
      <c r="Q56">
        <f t="shared" si="11"/>
        <v>1865061.4625919778</v>
      </c>
      <c r="R56">
        <f t="shared" si="11"/>
        <v>1902362.6918438177</v>
      </c>
      <c r="S56">
        <f t="shared" si="11"/>
        <v>1940409.9456806942</v>
      </c>
      <c r="T56">
        <f t="shared" si="11"/>
        <v>1979218.1445943082</v>
      </c>
      <c r="U56">
        <f t="shared" si="11"/>
        <v>2018802.5074861937</v>
      </c>
      <c r="V56">
        <f t="shared" si="11"/>
        <v>2059178.557635918</v>
      </c>
      <c r="W56">
        <f t="shared" si="11"/>
        <v>2100362.1287886365</v>
      </c>
      <c r="X56">
        <f t="shared" si="11"/>
        <v>2142369.3713644091</v>
      </c>
      <c r="Y56">
        <f t="shared" si="11"/>
        <v>2185216.7587916972</v>
      </c>
      <c r="Z56">
        <f t="shared" si="11"/>
        <v>1783136.8751740251</v>
      </c>
      <c r="AA56">
        <f t="shared" si="11"/>
        <v>1364099.7095081292</v>
      </c>
      <c r="AB56">
        <f t="shared" si="11"/>
        <v>927587.80246552778</v>
      </c>
      <c r="AC56">
        <f t="shared" si="11"/>
        <v>473069.77925741911</v>
      </c>
      <c r="AD56">
        <f t="shared" si="11"/>
        <v>0</v>
      </c>
    </row>
    <row r="57" spans="1:30" x14ac:dyDescent="0.45">
      <c r="A57" t="s">
        <v>30</v>
      </c>
      <c r="F57">
        <f>F56*(1-$B$7)^F19</f>
        <v>-1300000</v>
      </c>
      <c r="G57">
        <f t="shared" ref="G57:AD57" si="12">G56*(1-$B$7)^G19</f>
        <v>-979200</v>
      </c>
      <c r="H57">
        <f t="shared" si="12"/>
        <v>-671182.848</v>
      </c>
      <c r="I57">
        <f t="shared" si="12"/>
        <v>-375555.56843519997</v>
      </c>
      <c r="J57">
        <f t="shared" si="12"/>
        <v>-91936.003152936973</v>
      </c>
      <c r="K57">
        <f t="shared" si="12"/>
        <v>1350356.0143103381</v>
      </c>
      <c r="L57">
        <f t="shared" si="12"/>
        <v>1322268.609212683</v>
      </c>
      <c r="M57">
        <f t="shared" si="12"/>
        <v>1294765.4221410588</v>
      </c>
      <c r="N57">
        <f t="shared" si="12"/>
        <v>1267834.3013605252</v>
      </c>
      <c r="O57">
        <f t="shared" si="12"/>
        <v>1241463.3478922262</v>
      </c>
      <c r="P57">
        <f t="shared" si="12"/>
        <v>1215640.9102560678</v>
      </c>
      <c r="Q57">
        <f t="shared" si="12"/>
        <v>1190355.5793227414</v>
      </c>
      <c r="R57">
        <f t="shared" si="12"/>
        <v>1165596.1832728283</v>
      </c>
      <c r="S57">
        <f t="shared" si="12"/>
        <v>1141351.7826607537</v>
      </c>
      <c r="T57">
        <f t="shared" si="12"/>
        <v>1117611.6655814101</v>
      </c>
      <c r="U57">
        <f t="shared" si="12"/>
        <v>1094365.3429373165</v>
      </c>
      <c r="V57">
        <f t="shared" si="12"/>
        <v>1071602.5438042204</v>
      </c>
      <c r="W57">
        <f t="shared" si="12"/>
        <v>1049313.2108930927</v>
      </c>
      <c r="X57">
        <f t="shared" si="12"/>
        <v>1027487.4961065163</v>
      </c>
      <c r="Y57">
        <f t="shared" si="12"/>
        <v>1006115.7561875008</v>
      </c>
      <c r="Z57">
        <f t="shared" si="12"/>
        <v>788150.83876704064</v>
      </c>
      <c r="AA57">
        <f t="shared" si="12"/>
        <v>578817.97599051462</v>
      </c>
      <c r="AB57">
        <f t="shared" si="12"/>
        <v>377852.37472660793</v>
      </c>
      <c r="AC57">
        <f t="shared" si="12"/>
        <v>184996.52266614721</v>
      </c>
      <c r="AD57">
        <f t="shared" si="12"/>
        <v>0</v>
      </c>
    </row>
    <row r="58" spans="1:30" x14ac:dyDescent="0.45">
      <c r="A58" s="3" t="s">
        <v>7</v>
      </c>
      <c r="F58" s="2">
        <f>SUM(F57:AD57)</f>
        <v>16068071.458501453</v>
      </c>
    </row>
    <row r="60" spans="1:30" x14ac:dyDescent="0.45">
      <c r="A60" s="2" t="s">
        <v>32</v>
      </c>
    </row>
    <row r="61" spans="1:30" x14ac:dyDescent="0.45">
      <c r="A61" t="s">
        <v>31</v>
      </c>
      <c r="F61" s="2">
        <f>F43</f>
        <v>-2183037.7725268067</v>
      </c>
    </row>
    <row r="62" spans="1:30" x14ac:dyDescent="0.45">
      <c r="F62" s="2"/>
    </row>
    <row r="63" spans="1:30" x14ac:dyDescent="0.45">
      <c r="A63" s="2" t="s">
        <v>33</v>
      </c>
    </row>
    <row r="64" spans="1:30" x14ac:dyDescent="0.45">
      <c r="A64" t="s">
        <v>31</v>
      </c>
      <c r="F64" s="2">
        <f>F49+F58</f>
        <v>8693304.30511491</v>
      </c>
    </row>
    <row r="66" spans="1:30" x14ac:dyDescent="0.45">
      <c r="A66" s="2" t="s">
        <v>11</v>
      </c>
    </row>
    <row r="68" spans="1:30" x14ac:dyDescent="0.45">
      <c r="A68" t="s">
        <v>3</v>
      </c>
      <c r="F68">
        <f t="shared" ref="F68:AD68" si="13">-F20</f>
        <v>0</v>
      </c>
      <c r="G68">
        <f t="shared" si="13"/>
        <v>0</v>
      </c>
      <c r="H68">
        <f t="shared" si="13"/>
        <v>0</v>
      </c>
      <c r="I68">
        <f t="shared" si="13"/>
        <v>0</v>
      </c>
      <c r="J68">
        <f t="shared" si="13"/>
        <v>0</v>
      </c>
      <c r="K68">
        <f t="shared" si="13"/>
        <v>-3312242.4095999999</v>
      </c>
      <c r="L68">
        <f t="shared" si="13"/>
        <v>0</v>
      </c>
      <c r="M68">
        <f t="shared" si="13"/>
        <v>0</v>
      </c>
      <c r="N68">
        <f t="shared" si="13"/>
        <v>0</v>
      </c>
      <c r="O68">
        <f t="shared" si="13"/>
        <v>0</v>
      </c>
      <c r="P68">
        <f t="shared" si="13"/>
        <v>0</v>
      </c>
      <c r="Q68">
        <f t="shared" si="13"/>
        <v>0</v>
      </c>
      <c r="R68">
        <f t="shared" si="13"/>
        <v>0</v>
      </c>
      <c r="S68">
        <f t="shared" si="13"/>
        <v>0</v>
      </c>
      <c r="T68">
        <f t="shared" si="13"/>
        <v>0</v>
      </c>
      <c r="U68">
        <f t="shared" si="13"/>
        <v>0</v>
      </c>
      <c r="V68">
        <f t="shared" si="13"/>
        <v>0</v>
      </c>
      <c r="W68">
        <f t="shared" si="13"/>
        <v>0</v>
      </c>
      <c r="X68">
        <f t="shared" si="13"/>
        <v>0</v>
      </c>
      <c r="Y68">
        <f t="shared" si="13"/>
        <v>0</v>
      </c>
      <c r="Z68">
        <f t="shared" si="13"/>
        <v>0</v>
      </c>
      <c r="AA68">
        <f t="shared" si="13"/>
        <v>0</v>
      </c>
      <c r="AB68">
        <f t="shared" si="13"/>
        <v>0</v>
      </c>
      <c r="AC68">
        <f t="shared" si="13"/>
        <v>0</v>
      </c>
      <c r="AD68">
        <f t="shared" si="13"/>
        <v>0</v>
      </c>
    </row>
    <row r="69" spans="1:30" x14ac:dyDescent="0.45">
      <c r="A69" t="s">
        <v>30</v>
      </c>
      <c r="F69">
        <f>F68*(1-$B$7)^F19</f>
        <v>0</v>
      </c>
      <c r="G69">
        <f t="shared" ref="G69:AC69" si="14">G68*(1-$B$7)^G19</f>
        <v>0</v>
      </c>
      <c r="H69">
        <f t="shared" si="14"/>
        <v>0</v>
      </c>
      <c r="I69">
        <f t="shared" si="14"/>
        <v>0</v>
      </c>
      <c r="J69">
        <f t="shared" si="14"/>
        <v>0</v>
      </c>
      <c r="K69">
        <f t="shared" si="14"/>
        <v>-2700712.0286206761</v>
      </c>
      <c r="L69">
        <f t="shared" si="14"/>
        <v>0</v>
      </c>
      <c r="M69">
        <f t="shared" si="14"/>
        <v>0</v>
      </c>
      <c r="N69">
        <f t="shared" si="14"/>
        <v>0</v>
      </c>
      <c r="O69">
        <f t="shared" si="14"/>
        <v>0</v>
      </c>
      <c r="P69">
        <f t="shared" si="14"/>
        <v>0</v>
      </c>
      <c r="Q69">
        <f t="shared" si="14"/>
        <v>0</v>
      </c>
      <c r="R69">
        <f t="shared" si="14"/>
        <v>0</v>
      </c>
      <c r="S69">
        <f t="shared" si="14"/>
        <v>0</v>
      </c>
      <c r="T69">
        <f t="shared" si="14"/>
        <v>0</v>
      </c>
      <c r="U69">
        <f t="shared" si="14"/>
        <v>0</v>
      </c>
      <c r="V69">
        <f t="shared" si="14"/>
        <v>0</v>
      </c>
      <c r="W69">
        <f t="shared" si="14"/>
        <v>0</v>
      </c>
      <c r="X69">
        <f t="shared" si="14"/>
        <v>0</v>
      </c>
      <c r="Y69">
        <f t="shared" si="14"/>
        <v>0</v>
      </c>
      <c r="Z69">
        <f t="shared" si="14"/>
        <v>0</v>
      </c>
      <c r="AA69">
        <f t="shared" si="14"/>
        <v>0</v>
      </c>
      <c r="AB69">
        <f t="shared" si="14"/>
        <v>0</v>
      </c>
      <c r="AC69">
        <f t="shared" si="14"/>
        <v>0</v>
      </c>
      <c r="AD69">
        <f>AD68*(1-$C$31)^AD19</f>
        <v>0</v>
      </c>
    </row>
    <row r="70" spans="1:30" x14ac:dyDescent="0.45">
      <c r="A70" s="3" t="s">
        <v>7</v>
      </c>
      <c r="F70" s="2">
        <f>SUM(F69:AD69)</f>
        <v>-2700712.0286206761</v>
      </c>
    </row>
    <row r="72" spans="1:30" x14ac:dyDescent="0.45">
      <c r="A72" s="2" t="s">
        <v>12</v>
      </c>
    </row>
    <row r="73" spans="1:30" x14ac:dyDescent="0.45">
      <c r="A73" t="s">
        <v>3</v>
      </c>
      <c r="F73">
        <f t="shared" ref="F73:AD73" si="15">F28-F22-F23-F24</f>
        <v>-1800000</v>
      </c>
      <c r="G73">
        <f t="shared" si="15"/>
        <v>-1530000</v>
      </c>
      <c r="H73">
        <f t="shared" si="15"/>
        <v>-1248480</v>
      </c>
      <c r="I73">
        <f t="shared" si="15"/>
        <v>-955087.2</v>
      </c>
      <c r="J73">
        <f t="shared" si="15"/>
        <v>-649459.29600000009</v>
      </c>
      <c r="K73">
        <f t="shared" si="15"/>
        <v>1656121.2047999999</v>
      </c>
      <c r="L73">
        <f t="shared" si="15"/>
        <v>1689243.6288960001</v>
      </c>
      <c r="M73">
        <f t="shared" si="15"/>
        <v>1723028.5014739197</v>
      </c>
      <c r="N73">
        <f t="shared" si="15"/>
        <v>1757489.0715033982</v>
      </c>
      <c r="O73">
        <f t="shared" si="15"/>
        <v>1792638.8529334662</v>
      </c>
      <c r="P73">
        <f t="shared" si="15"/>
        <v>1828491.6299921356</v>
      </c>
      <c r="Q73">
        <f t="shared" si="15"/>
        <v>1865061.4625919778</v>
      </c>
      <c r="R73">
        <f t="shared" si="15"/>
        <v>1902362.6918438177</v>
      </c>
      <c r="S73">
        <f t="shared" si="15"/>
        <v>1940409.9456806942</v>
      </c>
      <c r="T73">
        <f t="shared" si="15"/>
        <v>1979218.1445943082</v>
      </c>
      <c r="U73">
        <f t="shared" si="15"/>
        <v>2018802.5074861937</v>
      </c>
      <c r="V73">
        <f t="shared" si="15"/>
        <v>2059178.557635918</v>
      </c>
      <c r="W73">
        <f t="shared" si="15"/>
        <v>2100362.1287886365</v>
      </c>
      <c r="X73">
        <f t="shared" si="15"/>
        <v>2142369.3713644091</v>
      </c>
      <c r="Y73">
        <f t="shared" si="15"/>
        <v>2185216.7587916972</v>
      </c>
      <c r="Z73">
        <f t="shared" si="15"/>
        <v>1783136.8751740251</v>
      </c>
      <c r="AA73">
        <f t="shared" si="15"/>
        <v>1364099.7095081292</v>
      </c>
      <c r="AB73">
        <f t="shared" si="15"/>
        <v>927587.80246552778</v>
      </c>
      <c r="AC73">
        <f t="shared" si="15"/>
        <v>473069.77925741911</v>
      </c>
      <c r="AD73">
        <f t="shared" si="15"/>
        <v>0</v>
      </c>
    </row>
    <row r="74" spans="1:30" x14ac:dyDescent="0.45">
      <c r="A74" t="s">
        <v>30</v>
      </c>
      <c r="F74">
        <f>F73*(1-$B$7)^F$19</f>
        <v>-1800000</v>
      </c>
      <c r="G74">
        <f t="shared" ref="G74:AD74" si="16">G73*(1-$B$7)^G$19</f>
        <v>-1468800</v>
      </c>
      <c r="H74">
        <f t="shared" si="16"/>
        <v>-1150599.1680000001</v>
      </c>
      <c r="I74">
        <f t="shared" si="16"/>
        <v>-845000.02897919994</v>
      </c>
      <c r="J74">
        <f t="shared" si="16"/>
        <v>-551616.01891762181</v>
      </c>
      <c r="K74">
        <f t="shared" si="16"/>
        <v>1350356.0143103381</v>
      </c>
      <c r="L74">
        <f t="shared" si="16"/>
        <v>1322268.609212683</v>
      </c>
      <c r="M74">
        <f t="shared" si="16"/>
        <v>1294765.4221410588</v>
      </c>
      <c r="N74">
        <f t="shared" si="16"/>
        <v>1267834.3013605252</v>
      </c>
      <c r="O74">
        <f t="shared" si="16"/>
        <v>1241463.3478922262</v>
      </c>
      <c r="P74">
        <f t="shared" si="16"/>
        <v>1215640.9102560678</v>
      </c>
      <c r="Q74">
        <f t="shared" si="16"/>
        <v>1190355.5793227414</v>
      </c>
      <c r="R74">
        <f t="shared" si="16"/>
        <v>1165596.1832728283</v>
      </c>
      <c r="S74">
        <f t="shared" si="16"/>
        <v>1141351.7826607537</v>
      </c>
      <c r="T74">
        <f t="shared" si="16"/>
        <v>1117611.6655814101</v>
      </c>
      <c r="U74">
        <f t="shared" si="16"/>
        <v>1094365.3429373165</v>
      </c>
      <c r="V74">
        <f t="shared" si="16"/>
        <v>1071602.5438042204</v>
      </c>
      <c r="W74">
        <f t="shared" si="16"/>
        <v>1049313.2108930927</v>
      </c>
      <c r="X74">
        <f t="shared" si="16"/>
        <v>1027487.4961065163</v>
      </c>
      <c r="Y74">
        <f t="shared" si="16"/>
        <v>1006115.7561875008</v>
      </c>
      <c r="Z74">
        <f t="shared" si="16"/>
        <v>788150.83876704064</v>
      </c>
      <c r="AA74">
        <f t="shared" si="16"/>
        <v>578817.97599051462</v>
      </c>
      <c r="AB74">
        <f t="shared" si="16"/>
        <v>377852.37472660793</v>
      </c>
      <c r="AC74">
        <f t="shared" si="16"/>
        <v>184996.52266614721</v>
      </c>
      <c r="AD74">
        <f t="shared" si="16"/>
        <v>0</v>
      </c>
    </row>
    <row r="75" spans="1:30" x14ac:dyDescent="0.45">
      <c r="A75" s="3" t="s">
        <v>7</v>
      </c>
      <c r="F75" s="2">
        <f>SUM(F74:AD74)</f>
        <v>13669930.662192769</v>
      </c>
    </row>
  </sheetData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Parkes</dc:creator>
  <cp:lastModifiedBy>Michael Parkes</cp:lastModifiedBy>
  <dcterms:created xsi:type="dcterms:W3CDTF">2022-08-24T14:06:51Z</dcterms:created>
  <dcterms:modified xsi:type="dcterms:W3CDTF">2022-09-08T20:39:03Z</dcterms:modified>
</cp:coreProperties>
</file>