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FPS01\Home\StepheRo\{profile}\Desktop\web20190221\Accounting Guidance\"/>
    </mc:Choice>
  </mc:AlternateContent>
  <bookViews>
    <workbookView xWindow="0" yWindow="0" windowWidth="19200" windowHeight="5235" tabRatio="717"/>
  </bookViews>
  <sheets>
    <sheet name="Data for Settlement &amp; 1st TU" sheetId="10" r:id="rId1"/>
    <sheet name="RPP Settlement &amp; 1st TU" sheetId="11" r:id="rId2"/>
    <sheet name="Data for 2nd TU" sheetId="14" r:id="rId3"/>
    <sheet name="RPP 2nd TU" sheetId="13" r:id="rId4"/>
    <sheet name="RPP vs non-RPP TU JE" sheetId="18" r:id="rId5"/>
    <sheet name="Rate Application Related" sheetId="19" r:id="rId6"/>
    <sheet name="Final RSVA Balances" sheetId="21" r:id="rId7"/>
    <sheet name="JEs" sheetId="9" r:id="rId8"/>
    <sheet name="T-Accounts" sheetId="22" r:id="rId9"/>
  </sheets>
  <definedNames>
    <definedName name="_xlnm.Print_Area" localSheetId="2">'Data for 2nd TU'!$A$1:$I$91</definedName>
    <definedName name="_xlnm.Print_Area" localSheetId="0">'Data for Settlement &amp; 1st TU'!$A$1:$I$94</definedName>
    <definedName name="_xlnm.Print_Area" localSheetId="7">JEs!$B$2:$E$172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0" l="1"/>
  <c r="G84" i="10"/>
  <c r="L67" i="10" l="1"/>
  <c r="E25" i="9"/>
  <c r="M34" i="10" l="1"/>
  <c r="M35" i="10"/>
  <c r="M36" i="10"/>
  <c r="M37" i="10"/>
  <c r="M33" i="10"/>
  <c r="H34" i="14" l="1"/>
  <c r="H35" i="14"/>
  <c r="H36" i="14"/>
  <c r="H37" i="14"/>
  <c r="H33" i="14"/>
  <c r="C34" i="10"/>
  <c r="C35" i="10"/>
  <c r="C36" i="10"/>
  <c r="C37" i="10"/>
  <c r="C33" i="10"/>
  <c r="I85" i="10"/>
  <c r="D85" i="14" s="1"/>
  <c r="O18" i="22" l="1"/>
  <c r="D70" i="9" l="1"/>
  <c r="D20" i="22" s="1"/>
  <c r="D71" i="9"/>
  <c r="M11" i="22" s="1"/>
  <c r="D86" i="10" l="1"/>
  <c r="C6" i="14" l="1"/>
  <c r="D6" i="14" s="1"/>
  <c r="C60" i="14" s="1"/>
  <c r="C7" i="14"/>
  <c r="H7" i="14" s="1"/>
  <c r="C54" i="14" l="1"/>
  <c r="C7" i="21"/>
  <c r="C16" i="21"/>
  <c r="I28" i="14"/>
  <c r="I6" i="10"/>
  <c r="H54" i="10" s="1"/>
  <c r="G54" i="10" s="1"/>
  <c r="D6" i="10"/>
  <c r="C54" i="10" s="1"/>
  <c r="B54" i="10" s="1"/>
  <c r="D28" i="10"/>
  <c r="H8" i="10"/>
  <c r="C8" i="10"/>
  <c r="H60" i="10" l="1"/>
  <c r="C60" i="10"/>
  <c r="E75" i="9" l="1"/>
  <c r="F23" i="22" s="1"/>
  <c r="G60" i="10"/>
  <c r="B60" i="14" s="1"/>
  <c r="E11" i="9"/>
  <c r="D42" i="9" s="1"/>
  <c r="D15" i="22" s="1"/>
  <c r="B60" i="10"/>
  <c r="F9" i="22"/>
  <c r="D5" i="9"/>
  <c r="D12" i="19"/>
  <c r="E12" i="19"/>
  <c r="C25" i="21"/>
  <c r="G60" i="14" l="1"/>
  <c r="D60" i="14"/>
  <c r="D5" i="22"/>
  <c r="E44" i="9"/>
  <c r="F16" i="22" s="1"/>
  <c r="C8" i="21"/>
  <c r="B8" i="21"/>
  <c r="B6" i="21"/>
  <c r="D8" i="9"/>
  <c r="I27" i="14"/>
  <c r="H84" i="14" s="1"/>
  <c r="D56" i="14"/>
  <c r="D77" i="14" s="1"/>
  <c r="B8" i="11"/>
  <c r="B9" i="11"/>
  <c r="B10" i="11"/>
  <c r="B11" i="11"/>
  <c r="B7" i="11"/>
  <c r="B68" i="10"/>
  <c r="B69" i="10"/>
  <c r="B70" i="10"/>
  <c r="B71" i="10"/>
  <c r="B67" i="10"/>
  <c r="E47" i="9" l="1"/>
  <c r="O9" i="22" s="1"/>
  <c r="M5" i="22"/>
  <c r="C6" i="21"/>
  <c r="B9" i="21"/>
  <c r="I56" i="14"/>
  <c r="I77" i="14" s="1"/>
  <c r="I77" i="10"/>
  <c r="N77" i="10" s="1"/>
  <c r="O77" i="10" s="1"/>
  <c r="G34" i="10"/>
  <c r="L34" i="10" s="1"/>
  <c r="G35" i="10"/>
  <c r="L35" i="10" s="1"/>
  <c r="G36" i="10"/>
  <c r="L36" i="10" s="1"/>
  <c r="G37" i="10"/>
  <c r="L37" i="10" s="1"/>
  <c r="I5" i="10"/>
  <c r="C85" i="10"/>
  <c r="B85" i="10" s="1"/>
  <c r="I8" i="10" l="1"/>
  <c r="H55" i="10"/>
  <c r="E96" i="9"/>
  <c r="O46" i="22" s="1"/>
  <c r="K77" i="14"/>
  <c r="L77" i="14" s="1"/>
  <c r="G7" i="21"/>
  <c r="E23" i="21"/>
  <c r="D5" i="10"/>
  <c r="C55" i="10" s="1"/>
  <c r="I28" i="10"/>
  <c r="N28" i="10" s="1"/>
  <c r="H28" i="10"/>
  <c r="D77" i="10"/>
  <c r="E23" i="9" s="1"/>
  <c r="O38" i="22" s="1"/>
  <c r="C76" i="10"/>
  <c r="G17" i="14"/>
  <c r="G18" i="14"/>
  <c r="G19" i="14"/>
  <c r="G20" i="14"/>
  <c r="G16" i="14"/>
  <c r="H29" i="14"/>
  <c r="H25" i="14" s="1"/>
  <c r="G17" i="10"/>
  <c r="G18" i="10"/>
  <c r="G19" i="10"/>
  <c r="G20" i="10"/>
  <c r="B17" i="10"/>
  <c r="B18" i="10"/>
  <c r="B19" i="10"/>
  <c r="B20" i="10"/>
  <c r="C28" i="14" l="1"/>
  <c r="D28" i="14" s="1"/>
  <c r="M28" i="10"/>
  <c r="D8" i="10"/>
  <c r="D25" i="10" s="1"/>
  <c r="M76" i="10"/>
  <c r="D59" i="9"/>
  <c r="M44" i="22" s="1"/>
  <c r="G21" i="14"/>
  <c r="G27" i="14"/>
  <c r="H85" i="10"/>
  <c r="G85" i="10" s="1"/>
  <c r="G44" i="10" s="1"/>
  <c r="H76" i="10"/>
  <c r="G28" i="14"/>
  <c r="M78" i="10" l="1"/>
  <c r="G29" i="14"/>
  <c r="D7" i="11" l="1"/>
  <c r="C5" i="14" l="1"/>
  <c r="D5" i="14" l="1"/>
  <c r="C8" i="14"/>
  <c r="H6" i="14"/>
  <c r="I6" i="14" s="1"/>
  <c r="C85" i="14"/>
  <c r="B85" i="14" s="1"/>
  <c r="B44" i="14" s="1"/>
  <c r="D8" i="11"/>
  <c r="D9" i="11"/>
  <c r="D10" i="11"/>
  <c r="D11" i="11"/>
  <c r="H60" i="14" l="1"/>
  <c r="I60" i="14" s="1"/>
  <c r="H54" i="14"/>
  <c r="D8" i="14"/>
  <c r="C55" i="14"/>
  <c r="H85" i="14"/>
  <c r="C9" i="21"/>
  <c r="H86" i="14"/>
  <c r="H76" i="14"/>
  <c r="C76" i="14"/>
  <c r="G55" i="10"/>
  <c r="B55" i="14" s="1"/>
  <c r="G55" i="14" s="1"/>
  <c r="B47" i="14"/>
  <c r="B34" i="14"/>
  <c r="B35" i="14"/>
  <c r="B36" i="14"/>
  <c r="B37" i="14"/>
  <c r="C78" i="14"/>
  <c r="H78" i="14"/>
  <c r="G38" i="14"/>
  <c r="G46" i="10"/>
  <c r="B46" i="14" s="1"/>
  <c r="G46" i="14" s="1"/>
  <c r="G45" i="10"/>
  <c r="B45" i="14" s="1"/>
  <c r="B78" i="14" s="1"/>
  <c r="I34" i="10"/>
  <c r="I35" i="10"/>
  <c r="I36" i="10"/>
  <c r="I37" i="10"/>
  <c r="I33" i="10"/>
  <c r="N33" i="10" s="1"/>
  <c r="B78" i="10"/>
  <c r="B58" i="10"/>
  <c r="B57" i="10"/>
  <c r="B17" i="14" l="1"/>
  <c r="B20" i="14"/>
  <c r="B19" i="14"/>
  <c r="B18" i="14"/>
  <c r="G85" i="14"/>
  <c r="G44" i="14" s="1"/>
  <c r="G76" i="14" s="1"/>
  <c r="B20" i="11"/>
  <c r="B31" i="11" s="1"/>
  <c r="N35" i="10"/>
  <c r="L69" i="10" s="1"/>
  <c r="B19" i="11"/>
  <c r="B30" i="11" s="1"/>
  <c r="N34" i="10"/>
  <c r="L68" i="10" s="1"/>
  <c r="B22" i="11"/>
  <c r="B33" i="11" s="1"/>
  <c r="N37" i="10"/>
  <c r="L71" i="10" s="1"/>
  <c r="B21" i="11"/>
  <c r="B32" i="11" s="1"/>
  <c r="N36" i="10"/>
  <c r="L70" i="10" s="1"/>
  <c r="I29" i="14"/>
  <c r="I25" i="14" s="1"/>
  <c r="B18" i="11"/>
  <c r="B29" i="11" s="1"/>
  <c r="G78" i="10"/>
  <c r="L78" i="10" s="1"/>
  <c r="G68" i="10"/>
  <c r="H5" i="14"/>
  <c r="H8" i="14" s="1"/>
  <c r="D33" i="14"/>
  <c r="G71" i="10"/>
  <c r="G67" i="10"/>
  <c r="G69" i="10"/>
  <c r="G70" i="10"/>
  <c r="G45" i="14"/>
  <c r="D35" i="14"/>
  <c r="B9" i="13" s="1"/>
  <c r="D34" i="14"/>
  <c r="B8" i="13" s="1"/>
  <c r="D36" i="14"/>
  <c r="B10" i="13" s="1"/>
  <c r="D37" i="14"/>
  <c r="B11" i="13" s="1"/>
  <c r="G47" i="14"/>
  <c r="D78" i="14"/>
  <c r="H69" i="14"/>
  <c r="H71" i="14"/>
  <c r="H68" i="14"/>
  <c r="H70" i="14"/>
  <c r="C78" i="10"/>
  <c r="D78" i="10" s="1"/>
  <c r="E24" i="9" s="1"/>
  <c r="O39" i="22" s="1"/>
  <c r="O40" i="22" s="1"/>
  <c r="H78" i="10"/>
  <c r="P40" i="22" l="1"/>
  <c r="O42" i="22"/>
  <c r="D60" i="9"/>
  <c r="M45" i="22" s="1"/>
  <c r="M49" i="22" s="1"/>
  <c r="G78" i="14"/>
  <c r="I78" i="14" s="1"/>
  <c r="F8" i="21"/>
  <c r="I5" i="14"/>
  <c r="G67" i="14"/>
  <c r="B7" i="13"/>
  <c r="G10" i="14"/>
  <c r="G11" i="14"/>
  <c r="I78" i="10"/>
  <c r="N78" i="10" s="1"/>
  <c r="O78" i="10" s="1"/>
  <c r="B67" i="14"/>
  <c r="I33" i="14"/>
  <c r="B18" i="13" s="1"/>
  <c r="B71" i="14"/>
  <c r="G71" i="14"/>
  <c r="I71" i="14" s="1"/>
  <c r="I37" i="14"/>
  <c r="B22" i="13" s="1"/>
  <c r="G68" i="14"/>
  <c r="I68" i="14" s="1"/>
  <c r="I34" i="14"/>
  <c r="B19" i="13" s="1"/>
  <c r="B30" i="13" s="1"/>
  <c r="B68" i="14"/>
  <c r="G70" i="14"/>
  <c r="I70" i="14" s="1"/>
  <c r="I36" i="14"/>
  <c r="B21" i="13" s="1"/>
  <c r="B70" i="14"/>
  <c r="G69" i="14"/>
  <c r="I69" i="14" s="1"/>
  <c r="I35" i="14"/>
  <c r="B20" i="13" s="1"/>
  <c r="B69" i="14"/>
  <c r="H38" i="14"/>
  <c r="H67" i="14"/>
  <c r="H55" i="14" l="1"/>
  <c r="I8" i="14"/>
  <c r="E97" i="9"/>
  <c r="O47" i="22" s="1"/>
  <c r="K78" i="14"/>
  <c r="L78" i="14" s="1"/>
  <c r="E141" i="9" s="1"/>
  <c r="O52" i="22" s="1"/>
  <c r="O53" i="22" s="1"/>
  <c r="O55" i="22" s="1"/>
  <c r="P78" i="10"/>
  <c r="E108" i="9" s="1"/>
  <c r="O48" i="22" s="1"/>
  <c r="F6" i="19"/>
  <c r="F12" i="19" s="1"/>
  <c r="D46" i="21"/>
  <c r="G8" i="21"/>
  <c r="G9" i="21" s="1"/>
  <c r="H11" i="14"/>
  <c r="I11" i="14" s="1"/>
  <c r="G12" i="14"/>
  <c r="H10" i="14"/>
  <c r="B29" i="13"/>
  <c r="B31" i="13"/>
  <c r="B32" i="13"/>
  <c r="B33" i="13"/>
  <c r="I67" i="14"/>
  <c r="H72" i="14"/>
  <c r="B15" i="21" l="1"/>
  <c r="H19" i="14"/>
  <c r="H20" i="14"/>
  <c r="H17" i="14"/>
  <c r="H16" i="14"/>
  <c r="H18" i="14"/>
  <c r="O49" i="22"/>
  <c r="P49" i="22" s="1"/>
  <c r="D129" i="9"/>
  <c r="M51" i="22" s="1"/>
  <c r="M53" i="22" s="1"/>
  <c r="I72" i="14"/>
  <c r="F7" i="18"/>
  <c r="C17" i="21"/>
  <c r="B17" i="21"/>
  <c r="B24" i="21" s="1"/>
  <c r="H58" i="14"/>
  <c r="H57" i="14"/>
  <c r="I10" i="14"/>
  <c r="F6" i="18"/>
  <c r="B44" i="10"/>
  <c r="H12" i="14"/>
  <c r="G21" i="13" s="1"/>
  <c r="H21" i="13" s="1"/>
  <c r="B25" i="21" l="1"/>
  <c r="C45" i="21"/>
  <c r="C46" i="21"/>
  <c r="E46" i="21" s="1"/>
  <c r="C36" i="21"/>
  <c r="C35" i="21"/>
  <c r="P53" i="22"/>
  <c r="B18" i="21"/>
  <c r="I12" i="14"/>
  <c r="C15" i="21"/>
  <c r="F8" i="18"/>
  <c r="G7" i="18" s="1"/>
  <c r="G18" i="13"/>
  <c r="G19" i="13"/>
  <c r="H19" i="13" s="1"/>
  <c r="G22" i="13"/>
  <c r="H22" i="13" s="1"/>
  <c r="G20" i="13"/>
  <c r="H20" i="13" s="1"/>
  <c r="B76" i="10"/>
  <c r="C34" i="21" l="1"/>
  <c r="C33" i="21"/>
  <c r="G76" i="10"/>
  <c r="B55" i="10"/>
  <c r="D6" i="9"/>
  <c r="C18" i="21"/>
  <c r="G6" i="18"/>
  <c r="H21" i="14"/>
  <c r="D76" i="10"/>
  <c r="D79" i="10" s="1"/>
  <c r="G23" i="13"/>
  <c r="H18" i="13"/>
  <c r="E45" i="9" l="1"/>
  <c r="F17" i="22" s="1"/>
  <c r="D6" i="22"/>
  <c r="I76" i="10"/>
  <c r="I79" i="10" s="1"/>
  <c r="L76" i="10"/>
  <c r="N76" i="10" s="1"/>
  <c r="G8" i="18"/>
  <c r="E22" i="9"/>
  <c r="F39" i="22" s="1"/>
  <c r="H23" i="13"/>
  <c r="B23" i="13" s="1"/>
  <c r="D6" i="21" s="1"/>
  <c r="D34" i="21" s="1"/>
  <c r="E34" i="21" s="1"/>
  <c r="D55" i="14"/>
  <c r="O76" i="10" l="1"/>
  <c r="N79" i="10"/>
  <c r="D58" i="9"/>
  <c r="D46" i="22" s="1"/>
  <c r="D7" i="21"/>
  <c r="D36" i="21" s="1"/>
  <c r="D8" i="21"/>
  <c r="E6" i="21"/>
  <c r="I55" i="14"/>
  <c r="P76" i="10" l="1"/>
  <c r="E107" i="9" s="1"/>
  <c r="F50" i="22" s="1"/>
  <c r="K76" i="14"/>
  <c r="K79" i="14" s="1"/>
  <c r="E95" i="9"/>
  <c r="F48" i="22" s="1"/>
  <c r="O79" i="10"/>
  <c r="D128" i="9" l="1"/>
  <c r="D54" i="22" s="1"/>
  <c r="P79" i="10"/>
  <c r="D17" i="21"/>
  <c r="D16" i="21"/>
  <c r="D35" i="21" s="1"/>
  <c r="E35" i="21" s="1"/>
  <c r="B16" i="10" l="1"/>
  <c r="B38" i="10"/>
  <c r="G33" i="10"/>
  <c r="L33" i="10" s="1"/>
  <c r="L38" i="10" l="1"/>
  <c r="G38" i="10"/>
  <c r="B33" i="14"/>
  <c r="G16" i="10"/>
  <c r="B21" i="10"/>
  <c r="G21" i="10" l="1"/>
  <c r="B38" i="14"/>
  <c r="B16" i="14"/>
  <c r="B21" i="14" l="1"/>
  <c r="I76" i="14" l="1"/>
  <c r="L76" i="14" l="1"/>
  <c r="E16" i="21"/>
  <c r="I16" i="21" s="1"/>
  <c r="E17" i="21"/>
  <c r="I17" i="21" s="1"/>
  <c r="E8" i="21"/>
  <c r="I79" i="14"/>
  <c r="E140" i="9" l="1"/>
  <c r="L79" i="14"/>
  <c r="E7" i="21"/>
  <c r="E36" i="21"/>
  <c r="E9" i="21" l="1"/>
  <c r="F56" i="22"/>
  <c r="B76" i="14" l="1"/>
  <c r="D76" i="14" s="1"/>
  <c r="D79" i="14" l="1"/>
  <c r="B54" i="14" l="1"/>
  <c r="G54" i="14" s="1"/>
  <c r="I54" i="14" s="1"/>
  <c r="D69" i="9"/>
  <c r="G84" i="14" l="1"/>
  <c r="I84" i="14" s="1"/>
  <c r="D19" i="22"/>
  <c r="D54" i="14"/>
  <c r="D27" i="10"/>
  <c r="C84" i="10"/>
  <c r="C29" i="10"/>
  <c r="B28" i="10" s="1"/>
  <c r="B11" i="10" s="1"/>
  <c r="C11" i="10" s="1"/>
  <c r="H27" i="10"/>
  <c r="M27" i="10" l="1"/>
  <c r="H36" i="10"/>
  <c r="H33" i="10"/>
  <c r="H35" i="10"/>
  <c r="H37" i="10"/>
  <c r="H34" i="10"/>
  <c r="G43" i="14"/>
  <c r="C27" i="14"/>
  <c r="C29" i="14" s="1"/>
  <c r="D11" i="10"/>
  <c r="C58" i="10"/>
  <c r="D58" i="10" s="1"/>
  <c r="M29" i="10"/>
  <c r="L27" i="10" s="1"/>
  <c r="H29" i="10"/>
  <c r="C25" i="10"/>
  <c r="B27" i="10"/>
  <c r="C86" i="10"/>
  <c r="B86" i="10" s="1"/>
  <c r="B84" i="10"/>
  <c r="B43" i="10" s="1"/>
  <c r="D29" i="10"/>
  <c r="I27" i="10"/>
  <c r="C21" i="13" l="1"/>
  <c r="I21" i="13" s="1"/>
  <c r="C20" i="13"/>
  <c r="I20" i="13" s="1"/>
  <c r="C22" i="13"/>
  <c r="I22" i="13" s="1"/>
  <c r="C19" i="13"/>
  <c r="I19" i="13" s="1"/>
  <c r="C18" i="13"/>
  <c r="I18" i="13" s="1"/>
  <c r="D15" i="21"/>
  <c r="E15" i="21" s="1"/>
  <c r="E18" i="21" s="1"/>
  <c r="D27" i="14"/>
  <c r="C34" i="14"/>
  <c r="C68" i="14" s="1"/>
  <c r="D68" i="14" s="1"/>
  <c r="C36" i="14"/>
  <c r="C35" i="14"/>
  <c r="C69" i="14" s="1"/>
  <c r="D69" i="14" s="1"/>
  <c r="C37" i="14"/>
  <c r="C71" i="14" s="1"/>
  <c r="D71" i="14" s="1"/>
  <c r="C33" i="14"/>
  <c r="C70" i="10"/>
  <c r="D70" i="10" s="1"/>
  <c r="C68" i="10"/>
  <c r="D68" i="10" s="1"/>
  <c r="C69" i="10"/>
  <c r="D69" i="10" s="1"/>
  <c r="C71" i="10"/>
  <c r="D71" i="10" s="1"/>
  <c r="C67" i="10"/>
  <c r="C38" i="10"/>
  <c r="B28" i="14"/>
  <c r="B11" i="14" s="1"/>
  <c r="C11" i="14" s="1"/>
  <c r="C70" i="14"/>
  <c r="D70" i="14" s="1"/>
  <c r="L28" i="10"/>
  <c r="M25" i="10"/>
  <c r="B6" i="19"/>
  <c r="D9" i="9"/>
  <c r="I29" i="10"/>
  <c r="I25" i="10" s="1"/>
  <c r="H84" i="10"/>
  <c r="H86" i="10" s="1"/>
  <c r="N27" i="10"/>
  <c r="N29" i="10" s="1"/>
  <c r="N25" i="10" s="1"/>
  <c r="B29" i="10"/>
  <c r="B10" i="10"/>
  <c r="L29" i="10"/>
  <c r="C8" i="11"/>
  <c r="C7" i="11"/>
  <c r="C10" i="11"/>
  <c r="C11" i="11"/>
  <c r="C9" i="11"/>
  <c r="M69" i="10"/>
  <c r="N69" i="10" s="1"/>
  <c r="O69" i="10" s="1"/>
  <c r="P69" i="10" s="1"/>
  <c r="K69" i="14" s="1"/>
  <c r="L69" i="14" s="1"/>
  <c r="M70" i="10"/>
  <c r="N70" i="10" s="1"/>
  <c r="O70" i="10" s="1"/>
  <c r="H68" i="10"/>
  <c r="I68" i="10" s="1"/>
  <c r="G28" i="10"/>
  <c r="G11" i="10" s="1"/>
  <c r="H11" i="10" s="1"/>
  <c r="H25" i="10"/>
  <c r="C25" i="14" s="1"/>
  <c r="H69" i="10"/>
  <c r="I69" i="10" s="1"/>
  <c r="M68" i="10"/>
  <c r="N68" i="10" s="1"/>
  <c r="O68" i="10" s="1"/>
  <c r="P68" i="10" s="1"/>
  <c r="K68" i="14" s="1"/>
  <c r="L68" i="14" s="1"/>
  <c r="M71" i="10"/>
  <c r="N71" i="10" s="1"/>
  <c r="O71" i="10" s="1"/>
  <c r="G27" i="10"/>
  <c r="H70" i="10"/>
  <c r="I70" i="10" s="1"/>
  <c r="H71" i="10"/>
  <c r="I71" i="10" s="1"/>
  <c r="B27" i="14"/>
  <c r="D29" i="14" l="1"/>
  <c r="D25" i="14" s="1"/>
  <c r="C84" i="14"/>
  <c r="C86" i="14" s="1"/>
  <c r="I86" i="14"/>
  <c r="I23" i="13"/>
  <c r="M38" i="10"/>
  <c r="M67" i="10"/>
  <c r="K71" i="14"/>
  <c r="L71" i="14" s="1"/>
  <c r="P71" i="10"/>
  <c r="I11" i="10"/>
  <c r="H58" i="10"/>
  <c r="E7" i="11"/>
  <c r="M6" i="22"/>
  <c r="M7" i="22" s="1"/>
  <c r="P7" i="22" s="1"/>
  <c r="M41" i="22" s="1"/>
  <c r="E48" i="9"/>
  <c r="O10" i="22" s="1"/>
  <c r="O13" i="22" s="1"/>
  <c r="E9" i="11"/>
  <c r="E8" i="11"/>
  <c r="B12" i="19"/>
  <c r="D11" i="14"/>
  <c r="C58" i="14"/>
  <c r="C7" i="18"/>
  <c r="H38" i="10"/>
  <c r="H67" i="10"/>
  <c r="E11" i="11"/>
  <c r="B29" i="14"/>
  <c r="B10" i="14"/>
  <c r="G29" i="10"/>
  <c r="G10" i="10"/>
  <c r="K70" i="14"/>
  <c r="L70" i="14" s="1"/>
  <c r="P70" i="10"/>
  <c r="E10" i="11"/>
  <c r="B12" i="10"/>
  <c r="C10" i="10"/>
  <c r="C67" i="14"/>
  <c r="C38" i="14"/>
  <c r="C72" i="10"/>
  <c r="D67" i="10"/>
  <c r="D72" i="10" s="1"/>
  <c r="E21" i="9" s="1"/>
  <c r="C20" i="10" l="1"/>
  <c r="C18" i="10"/>
  <c r="C19" i="10"/>
  <c r="C17" i="10"/>
  <c r="C16" i="10"/>
  <c r="G86" i="14"/>
  <c r="F10" i="11"/>
  <c r="F9" i="11"/>
  <c r="F7" i="11"/>
  <c r="G12" i="10"/>
  <c r="H10" i="10"/>
  <c r="C72" i="14"/>
  <c r="D67" i="14"/>
  <c r="D72" i="14" s="1"/>
  <c r="F5" i="19" s="1"/>
  <c r="F11" i="11"/>
  <c r="F8" i="11"/>
  <c r="M72" i="10"/>
  <c r="N67" i="10"/>
  <c r="D57" i="9"/>
  <c r="F38" i="22"/>
  <c r="F40" i="22" s="1"/>
  <c r="D20" i="9"/>
  <c r="D10" i="10"/>
  <c r="D12" i="10" s="1"/>
  <c r="C57" i="10"/>
  <c r="D57" i="10" s="1"/>
  <c r="C12" i="10"/>
  <c r="B12" i="14"/>
  <c r="C10" i="14"/>
  <c r="I67" i="10"/>
  <c r="I72" i="10" s="1"/>
  <c r="H72" i="10"/>
  <c r="D32" i="9"/>
  <c r="O63" i="22"/>
  <c r="M42" i="22"/>
  <c r="P42" i="22" s="1"/>
  <c r="H17" i="10" l="1"/>
  <c r="H16" i="10"/>
  <c r="H19" i="10"/>
  <c r="H20" i="10"/>
  <c r="H18" i="10"/>
  <c r="C20" i="14"/>
  <c r="C18" i="14"/>
  <c r="C19" i="14"/>
  <c r="C17" i="14"/>
  <c r="C16" i="14"/>
  <c r="G40" i="22"/>
  <c r="F42" i="22"/>
  <c r="D62" i="9"/>
  <c r="D45" i="22"/>
  <c r="D51" i="22" s="1"/>
  <c r="C6" i="18"/>
  <c r="C8" i="18" s="1"/>
  <c r="C12" i="14"/>
  <c r="D10" i="14"/>
  <c r="D12" i="14" s="1"/>
  <c r="C57" i="14"/>
  <c r="E33" i="9"/>
  <c r="E34" i="9" s="1"/>
  <c r="D25" i="9"/>
  <c r="E61" i="9"/>
  <c r="E62" i="9" s="1"/>
  <c r="H57" i="10"/>
  <c r="I10" i="10"/>
  <c r="I12" i="10" s="1"/>
  <c r="H12" i="10"/>
  <c r="D7" i="9"/>
  <c r="G10" i="11"/>
  <c r="G11" i="11"/>
  <c r="G8" i="11"/>
  <c r="G9" i="11"/>
  <c r="N72" i="10"/>
  <c r="O72" i="10" s="1"/>
  <c r="E94" i="9" s="1"/>
  <c r="O67" i="10"/>
  <c r="P67" i="10" s="1"/>
  <c r="I86" i="10" l="1"/>
  <c r="G86" i="10" s="1"/>
  <c r="C21" i="10"/>
  <c r="G7" i="11"/>
  <c r="G48" i="10"/>
  <c r="G19" i="11"/>
  <c r="G21" i="11"/>
  <c r="G32" i="11" s="1"/>
  <c r="G20" i="11"/>
  <c r="G31" i="11" s="1"/>
  <c r="G22" i="11"/>
  <c r="J8" i="11"/>
  <c r="H8" i="11"/>
  <c r="I8" i="11"/>
  <c r="D93" i="9"/>
  <c r="D98" i="9" s="1"/>
  <c r="E98" i="9"/>
  <c r="F47" i="22"/>
  <c r="I11" i="11"/>
  <c r="J11" i="11"/>
  <c r="H11" i="11"/>
  <c r="G10" i="13"/>
  <c r="G9" i="13"/>
  <c r="G11" i="13"/>
  <c r="G8" i="13"/>
  <c r="K67" i="14"/>
  <c r="P72" i="10"/>
  <c r="D7" i="22"/>
  <c r="D10" i="22" s="1"/>
  <c r="D12" i="22" s="1"/>
  <c r="E46" i="9"/>
  <c r="D13" i="9"/>
  <c r="J9" i="11"/>
  <c r="I9" i="11"/>
  <c r="H9" i="11"/>
  <c r="J10" i="11"/>
  <c r="I10" i="11"/>
  <c r="H10" i="11"/>
  <c r="D84" i="14" l="1"/>
  <c r="D86" i="14" s="1"/>
  <c r="B86" i="14" s="1"/>
  <c r="G43" i="10"/>
  <c r="K10" i="11"/>
  <c r="K9" i="11"/>
  <c r="E49" i="9"/>
  <c r="F18" i="22"/>
  <c r="H22" i="11"/>
  <c r="H19" i="11"/>
  <c r="L67" i="14"/>
  <c r="K72" i="14"/>
  <c r="L72" i="14" s="1"/>
  <c r="G32" i="13"/>
  <c r="H10" i="13"/>
  <c r="G33" i="11"/>
  <c r="G30" i="11"/>
  <c r="H20" i="11"/>
  <c r="D19" i="11"/>
  <c r="D30" i="11" s="1"/>
  <c r="D22" i="11"/>
  <c r="D33" i="11" s="1"/>
  <c r="G57" i="10"/>
  <c r="I57" i="10" s="1"/>
  <c r="G58" i="10"/>
  <c r="I58" i="10" s="1"/>
  <c r="C6" i="19" s="1"/>
  <c r="D21" i="11"/>
  <c r="D32" i="11" s="1"/>
  <c r="D20" i="11"/>
  <c r="D31" i="11" s="1"/>
  <c r="D18" i="11"/>
  <c r="D29" i="11" s="1"/>
  <c r="B48" i="14"/>
  <c r="C18" i="11"/>
  <c r="C19" i="11"/>
  <c r="C20" i="11"/>
  <c r="I20" i="11" s="1"/>
  <c r="I31" i="11" s="1"/>
  <c r="C21" i="11"/>
  <c r="C22" i="11"/>
  <c r="G31" i="13"/>
  <c r="H9" i="13"/>
  <c r="H21" i="11"/>
  <c r="C21" i="14"/>
  <c r="G7" i="13"/>
  <c r="K11" i="11"/>
  <c r="G30" i="13"/>
  <c r="H8" i="13"/>
  <c r="E106" i="9"/>
  <c r="P81" i="10"/>
  <c r="E130" i="9" s="1"/>
  <c r="E131" i="9" s="1"/>
  <c r="D127" i="9"/>
  <c r="G33" i="13"/>
  <c r="H11" i="13"/>
  <c r="K8" i="11"/>
  <c r="H21" i="10"/>
  <c r="G18" i="11"/>
  <c r="G29" i="11" s="1"/>
  <c r="G12" i="11"/>
  <c r="J7" i="11"/>
  <c r="J12" i="11" s="1"/>
  <c r="I7" i="11"/>
  <c r="I12" i="11" s="1"/>
  <c r="H7" i="11"/>
  <c r="B84" i="14" l="1"/>
  <c r="B43" i="14" s="1"/>
  <c r="C8" i="13" s="1"/>
  <c r="J20" i="11"/>
  <c r="J31" i="11" s="1"/>
  <c r="J22" i="11"/>
  <c r="J33" i="11" s="1"/>
  <c r="E22" i="11"/>
  <c r="C33" i="11"/>
  <c r="H32" i="13"/>
  <c r="H30" i="11"/>
  <c r="H32" i="11"/>
  <c r="H31" i="13"/>
  <c r="E21" i="11"/>
  <c r="C32" i="11"/>
  <c r="B57" i="14"/>
  <c r="D57" i="14" s="1"/>
  <c r="D7" i="13"/>
  <c r="J7" i="13" s="1"/>
  <c r="D10" i="13"/>
  <c r="D9" i="13"/>
  <c r="D8" i="13"/>
  <c r="D11" i="13"/>
  <c r="G48" i="14"/>
  <c r="B58" i="14"/>
  <c r="D58" i="14" s="1"/>
  <c r="D73" i="9"/>
  <c r="M12" i="22" s="1"/>
  <c r="M13" i="22" s="1"/>
  <c r="J19" i="11"/>
  <c r="J30" i="11" s="1"/>
  <c r="G34" i="11"/>
  <c r="D131" i="9"/>
  <c r="D53" i="22"/>
  <c r="D57" i="22" s="1"/>
  <c r="H30" i="13"/>
  <c r="J21" i="11"/>
  <c r="J32" i="11" s="1"/>
  <c r="E20" i="11"/>
  <c r="C31" i="11"/>
  <c r="D72" i="9"/>
  <c r="C5" i="19"/>
  <c r="C9" i="13"/>
  <c r="C11" i="13"/>
  <c r="I22" i="11"/>
  <c r="I33" i="11" s="1"/>
  <c r="E109" i="9"/>
  <c r="D105" i="9"/>
  <c r="D109" i="9" s="1"/>
  <c r="F49" i="22"/>
  <c r="F51" i="22" s="1"/>
  <c r="G51" i="22" s="1"/>
  <c r="E18" i="11"/>
  <c r="C29" i="11"/>
  <c r="H12" i="11"/>
  <c r="B12" i="11" s="1"/>
  <c r="K7" i="11"/>
  <c r="K12" i="11" s="1"/>
  <c r="J18" i="11"/>
  <c r="G23" i="11"/>
  <c r="I18" i="11"/>
  <c r="H18" i="11"/>
  <c r="H33" i="13"/>
  <c r="G29" i="13"/>
  <c r="G34" i="13" s="1"/>
  <c r="G12" i="13"/>
  <c r="H7" i="13"/>
  <c r="I21" i="11"/>
  <c r="I32" i="11" s="1"/>
  <c r="E19" i="11"/>
  <c r="C30" i="11"/>
  <c r="K20" i="11"/>
  <c r="H31" i="11"/>
  <c r="D138" i="9"/>
  <c r="D142" i="9" s="1"/>
  <c r="E139" i="9"/>
  <c r="I19" i="11"/>
  <c r="I30" i="11" s="1"/>
  <c r="H33" i="11"/>
  <c r="C7" i="13" l="1"/>
  <c r="I7" i="13" s="1"/>
  <c r="I29" i="13" s="1"/>
  <c r="C10" i="13"/>
  <c r="I10" i="13" s="1"/>
  <c r="K31" i="11"/>
  <c r="K22" i="11"/>
  <c r="K32" i="11"/>
  <c r="I23" i="11"/>
  <c r="I29" i="11"/>
  <c r="I34" i="11" s="1"/>
  <c r="C33" i="13"/>
  <c r="E11" i="13"/>
  <c r="I11" i="13"/>
  <c r="C31" i="13"/>
  <c r="E9" i="13"/>
  <c r="I9" i="13"/>
  <c r="D22" i="13"/>
  <c r="D33" i="13" s="1"/>
  <c r="D24" i="21"/>
  <c r="D45" i="21" s="1"/>
  <c r="B7" i="18"/>
  <c r="E7" i="18" s="1"/>
  <c r="G57" i="14"/>
  <c r="I57" i="14" s="1"/>
  <c r="D18" i="13"/>
  <c r="D29" i="13" s="1"/>
  <c r="B6" i="18"/>
  <c r="E6" i="18" s="1"/>
  <c r="D21" i="13"/>
  <c r="D19" i="13"/>
  <c r="D20" i="13"/>
  <c r="D31" i="13" s="1"/>
  <c r="G58" i="14"/>
  <c r="I58" i="14" s="1"/>
  <c r="G6" i="19" s="1"/>
  <c r="G12" i="19" s="1"/>
  <c r="F15" i="21"/>
  <c r="G15" i="21" s="1"/>
  <c r="J10" i="13"/>
  <c r="F21" i="11"/>
  <c r="F32" i="11" s="1"/>
  <c r="E32" i="11"/>
  <c r="K21" i="11"/>
  <c r="D59" i="10"/>
  <c r="I59" i="10" s="1"/>
  <c r="E10" i="9"/>
  <c r="D77" i="9"/>
  <c r="D21" i="22"/>
  <c r="J9" i="13"/>
  <c r="F55" i="22"/>
  <c r="F57" i="22" s="1"/>
  <c r="G57" i="22" s="1"/>
  <c r="E142" i="9"/>
  <c r="E8" i="13"/>
  <c r="C30" i="13"/>
  <c r="I8" i="13"/>
  <c r="F20" i="11"/>
  <c r="F31" i="11" s="1"/>
  <c r="E31" i="11"/>
  <c r="C12" i="19"/>
  <c r="J11" i="13"/>
  <c r="K30" i="11"/>
  <c r="H23" i="11"/>
  <c r="B23" i="11" s="1"/>
  <c r="K18" i="11"/>
  <c r="H29" i="11"/>
  <c r="H12" i="13"/>
  <c r="B12" i="13" s="1"/>
  <c r="H29" i="13"/>
  <c r="K33" i="11"/>
  <c r="F19" i="11"/>
  <c r="F30" i="11" s="1"/>
  <c r="E30" i="11"/>
  <c r="J23" i="11"/>
  <c r="J29" i="11"/>
  <c r="J34" i="11" s="1"/>
  <c r="F18" i="11"/>
  <c r="F29" i="11" s="1"/>
  <c r="E29" i="11"/>
  <c r="C29" i="13"/>
  <c r="E7" i="13"/>
  <c r="M15" i="22"/>
  <c r="P13" i="22"/>
  <c r="O14" i="22" s="1"/>
  <c r="D30" i="13"/>
  <c r="J8" i="13"/>
  <c r="K19" i="11"/>
  <c r="F22" i="11"/>
  <c r="F33" i="11" s="1"/>
  <c r="E33" i="11"/>
  <c r="E10" i="13" l="1"/>
  <c r="C32" i="13"/>
  <c r="K7" i="13"/>
  <c r="H6" i="19"/>
  <c r="I12" i="13"/>
  <c r="J12" i="13"/>
  <c r="I30" i="13"/>
  <c r="K8" i="13"/>
  <c r="G18" i="21"/>
  <c r="E21" i="13"/>
  <c r="F21" i="13" s="1"/>
  <c r="J21" i="13"/>
  <c r="I31" i="13"/>
  <c r="K9" i="13"/>
  <c r="M64" i="22"/>
  <c r="O15" i="22"/>
  <c r="P15" i="22" s="1"/>
  <c r="F8" i="22"/>
  <c r="F10" i="22" s="1"/>
  <c r="D41" i="9"/>
  <c r="E8" i="18"/>
  <c r="H8" i="18" s="1"/>
  <c r="E45" i="21"/>
  <c r="E47" i="21" s="1"/>
  <c r="E24" i="21"/>
  <c r="E25" i="21" s="1"/>
  <c r="E42" i="21" s="1"/>
  <c r="F9" i="13"/>
  <c r="I32" i="13"/>
  <c r="K10" i="13"/>
  <c r="H34" i="13"/>
  <c r="H34" i="11"/>
  <c r="K29" i="11"/>
  <c r="K34" i="11" s="1"/>
  <c r="F8" i="13"/>
  <c r="E74" i="9"/>
  <c r="D61" i="10"/>
  <c r="E20" i="13"/>
  <c r="F20" i="13" s="1"/>
  <c r="J20" i="13"/>
  <c r="E18" i="13"/>
  <c r="F18" i="13" s="1"/>
  <c r="J18" i="13"/>
  <c r="E22" i="13"/>
  <c r="F22" i="13" s="1"/>
  <c r="J22" i="13"/>
  <c r="F10" i="13"/>
  <c r="F11" i="13"/>
  <c r="F7" i="13"/>
  <c r="K23" i="11"/>
  <c r="H12" i="19"/>
  <c r="D32" i="13"/>
  <c r="E19" i="13"/>
  <c r="F19" i="13" s="1"/>
  <c r="J19" i="13"/>
  <c r="G5" i="19"/>
  <c r="I33" i="13"/>
  <c r="K11" i="13"/>
  <c r="E12" i="9" l="1"/>
  <c r="D43" i="9" s="1"/>
  <c r="D49" i="9" s="1"/>
  <c r="B5" i="19"/>
  <c r="G10" i="22"/>
  <c r="D41" i="22" s="1"/>
  <c r="F12" i="22"/>
  <c r="G12" i="22" s="1"/>
  <c r="F32" i="13"/>
  <c r="E32" i="13"/>
  <c r="I34" i="13"/>
  <c r="K12" i="13"/>
  <c r="E30" i="13"/>
  <c r="F29" i="13"/>
  <c r="E33" i="13"/>
  <c r="E29" i="13"/>
  <c r="E13" i="9"/>
  <c r="E85" i="9"/>
  <c r="F24" i="22" s="1"/>
  <c r="D5" i="19"/>
  <c r="E31" i="13"/>
  <c r="D7" i="18"/>
  <c r="F31" i="13"/>
  <c r="D6" i="18"/>
  <c r="K21" i="13"/>
  <c r="J32" i="13"/>
  <c r="K32" i="13" s="1"/>
  <c r="J30" i="13"/>
  <c r="K30" i="13" s="1"/>
  <c r="K19" i="13"/>
  <c r="F22" i="22"/>
  <c r="E76" i="9"/>
  <c r="E77" i="9" s="1"/>
  <c r="D14" i="22"/>
  <c r="D25" i="22" s="1"/>
  <c r="D117" i="9"/>
  <c r="E119" i="9" s="1"/>
  <c r="M66" i="22"/>
  <c r="H6" i="18"/>
  <c r="I6" i="18" s="1"/>
  <c r="H7" i="18"/>
  <c r="I7" i="18" s="1"/>
  <c r="D158" i="9" s="1"/>
  <c r="J23" i="13"/>
  <c r="J29" i="13"/>
  <c r="K18" i="13"/>
  <c r="D59" i="14"/>
  <c r="I61" i="10"/>
  <c r="F33" i="13"/>
  <c r="K22" i="13"/>
  <c r="J33" i="13"/>
  <c r="K33" i="13" s="1"/>
  <c r="J31" i="13"/>
  <c r="K31" i="13" s="1"/>
  <c r="K20" i="13"/>
  <c r="F30" i="13"/>
  <c r="D34" i="9" l="1"/>
  <c r="D61" i="14"/>
  <c r="I59" i="14"/>
  <c r="F63" i="22"/>
  <c r="D42" i="22"/>
  <c r="G42" i="22" s="1"/>
  <c r="D8" i="18"/>
  <c r="E86" i="9"/>
  <c r="D84" i="9"/>
  <c r="D86" i="9" s="1"/>
  <c r="F25" i="22"/>
  <c r="G25" i="22" s="1"/>
  <c r="F26" i="22" s="1"/>
  <c r="D64" i="22" s="1"/>
  <c r="D66" i="22" s="1"/>
  <c r="J34" i="13"/>
  <c r="K29" i="13"/>
  <c r="K34" i="13" s="1"/>
  <c r="E5" i="19" s="1"/>
  <c r="E159" i="9"/>
  <c r="M17" i="22"/>
  <c r="M18" i="22" s="1"/>
  <c r="P18" i="22" s="1"/>
  <c r="M54" i="22" s="1"/>
  <c r="D160" i="9"/>
  <c r="D27" i="22"/>
  <c r="K23" i="13"/>
  <c r="I8" i="18"/>
  <c r="F27" i="22" l="1"/>
  <c r="G27" i="22" s="1"/>
  <c r="H15" i="21"/>
  <c r="M55" i="22"/>
  <c r="P55" i="22" s="1"/>
  <c r="O65" i="22"/>
  <c r="O66" i="22" s="1"/>
  <c r="P66" i="22" s="1"/>
  <c r="D168" i="9"/>
  <c r="E170" i="9" s="1"/>
  <c r="D116" i="9"/>
  <c r="E160" i="9"/>
  <c r="F30" i="22"/>
  <c r="F31" i="22" s="1"/>
  <c r="F33" i="22" s="1"/>
  <c r="E150" i="9"/>
  <c r="D29" i="22"/>
  <c r="D31" i="22" s="1"/>
  <c r="G31" i="22" l="1"/>
  <c r="D32" i="22" s="1"/>
  <c r="D149" i="9"/>
  <c r="D151" i="9" s="1"/>
  <c r="E151" i="9"/>
  <c r="D120" i="9"/>
  <c r="E118" i="9"/>
  <c r="E120" i="9" s="1"/>
  <c r="H18" i="21"/>
  <c r="I15" i="21"/>
  <c r="H5" i="19"/>
  <c r="I61" i="14"/>
  <c r="I18" i="21" l="1"/>
  <c r="D33" i="21"/>
  <c r="E33" i="21" s="1"/>
  <c r="E37" i="21" s="1"/>
  <c r="D167" i="9"/>
  <c r="F65" i="22"/>
  <c r="D33" i="22"/>
  <c r="G33" i="22" s="1"/>
  <c r="F66" i="22" l="1"/>
  <c r="G66" i="22" s="1"/>
  <c r="E30" i="21"/>
  <c r="D171" i="9"/>
  <c r="E169" i="9"/>
  <c r="E171" i="9" s="1"/>
</calcChain>
</file>

<file path=xl/sharedStrings.xml><?xml version="1.0" encoding="utf-8"?>
<sst xmlns="http://schemas.openxmlformats.org/spreadsheetml/2006/main" count="930" uniqueCount="376">
  <si>
    <t>Dr. Account 4705 - Power Purchased</t>
  </si>
  <si>
    <t>Cr. Account 2256 - IESO Accounts Payable</t>
  </si>
  <si>
    <t>Tier 1</t>
  </si>
  <si>
    <t>Tier 2</t>
  </si>
  <si>
    <t>TOU Off-peak</t>
  </si>
  <si>
    <t>TOU On-peak</t>
  </si>
  <si>
    <t>TOU Mid-peak</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</si>
  <si>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</si>
  <si>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</si>
  <si>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</si>
  <si>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</si>
  <si>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</si>
  <si>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</si>
  <si>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</si>
  <si>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</si>
  <si>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</si>
  <si>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</si>
  <si>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</si>
  <si>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</si>
  <si>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</si>
  <si>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</si>
  <si>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</si>
  <si>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</si>
  <si>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</si>
  <si>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</si>
  <si>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</si>
  <si>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</si>
  <si>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</si>
  <si>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</si>
  <si>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</si>
  <si>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</si>
  <si>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</si>
  <si>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</si>
  <si>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</si>
  <si>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</si>
  <si>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</si>
  <si>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</si>
  <si>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</si>
  <si>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</si>
  <si>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</si>
  <si>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</si>
  <si>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</si>
  <si>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</si>
  <si>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Account 2256 - IESO Accounts Payable reduction</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</si>
  <si>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</si>
  <si>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</si>
  <si>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</si>
  <si>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</si>
  <si>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</si>
  <si>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</si>
  <si>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</si>
  <si>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</si>
  <si>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</si>
  <si>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</si>
  <si>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</si>
  <si>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</si>
  <si>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</si>
  <si>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</si>
  <si>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</si>
  <si>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</si>
  <si>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</si>
  <si>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</si>
  <si>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</si>
  <si>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</si>
  <si>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</si>
  <si>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</si>
  <si>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</si>
  <si>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</si>
  <si>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</si>
  <si>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</si>
  <si>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</si>
  <si>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</si>
  <si>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</si>
  <si>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</si>
  <si>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</si>
  <si>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</si>
  <si>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</si>
  <si>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</si>
  <si>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</si>
  <si>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</si>
  <si>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</si>
  <si>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</si>
  <si>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</si>
  <si>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</si>
  <si>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</si>
  <si>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</si>
  <si>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</si>
  <si>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</si>
  <si>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</si>
  <si>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</si>
  <si>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</si>
  <si>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</si>
  <si>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</si>
  <si>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</si>
  <si>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</si>
  <si>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</si>
  <si>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</si>
  <si>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</si>
  <si>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</si>
  <si>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</si>
  <si>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</si>
  <si>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</si>
  <si>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</si>
  <si>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</si>
  <si>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</si>
  <si>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</si>
  <si>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</si>
  <si>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</si>
  <si>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</si>
  <si>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</si>
  <si>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</si>
  <si>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</si>
  <si>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</si>
  <si>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</si>
  <si>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</si>
  <si>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</si>
  <si>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</si>
  <si>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</si>
  <si>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</si>
  <si>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</si>
  <si>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</si>
  <si>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</si>
  <si>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</si>
  <si>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</si>
  <si>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</si>
  <si>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</si>
  <si>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</si>
  <si>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</si>
  <si>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</si>
  <si>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</si>
  <si>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</si>
  <si>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</si>
  <si>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</si>
  <si>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</si>
  <si>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</si>
  <si>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</si>
  <si>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</si>
  <si>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</si>
  <si>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</si>
  <si>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</si>
  <si>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Data for Initial RPP Settlement based on Estimates on Day 4 January 5, 2018:</t>
  </si>
  <si>
    <t>Data for 1st True up of RPP Settlement based on Actual IESO Invoice on February 6, 2018:</t>
  </si>
  <si>
    <t>Data for 2nd True up of RPP Settlement based on Actual Revenue Volumes on March 6, 2018:</t>
  </si>
  <si>
    <t>2nd RPP Settlement True-up</t>
  </si>
  <si>
    <t>1st RPP Settlement True-up based on Actual GA Price</t>
  </si>
  <si>
    <t>Per Dec 31, 2017 G/L</t>
  </si>
  <si>
    <t>Not Posted to Dec 31, 2017 G/L, DVA Continuity Adjustment needed</t>
  </si>
  <si>
    <t>RPP Settlement- 1st true-up</t>
  </si>
  <si>
    <t>RPP Settlement - 2nd true-up</t>
  </si>
  <si>
    <t>Balance for Disposition</t>
  </si>
  <si>
    <t>Account</t>
  </si>
  <si>
    <t>December 31, 2017</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</si>
  <si>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</si>
  <si>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</si>
  <si>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</si>
  <si>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</si>
  <si>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</si>
  <si>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</si>
  <si>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</si>
  <si>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</si>
  <si>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January 1, 2018</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</si>
  <si>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</si>
  <si>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</si>
  <si>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</si>
  <si>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</si>
  <si>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</si>
  <si>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January 31, 2018</t>
  </si>
  <si>
    <t>Dr. Billings Energy Sales Accounts 4006-4055 RPP</t>
  </si>
  <si>
    <t>Dr. Billings Energy Sales Accounts 4006-4055 Class A non-RPP GA</t>
  </si>
  <si>
    <t>Dr. Billings Energy Sales Accounts 4006-4055 Class B non-RPP GA</t>
  </si>
  <si>
    <t>January 16, 2018</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</si>
  <si>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</si>
  <si>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</si>
  <si>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</si>
  <si>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</si>
  <si>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</si>
  <si>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</si>
  <si>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</si>
  <si>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</si>
  <si>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</si>
  <si>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</si>
  <si>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</si>
  <si>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</si>
  <si>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</si>
  <si>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</si>
  <si>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</si>
  <si>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</si>
  <si>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</si>
  <si>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 Finall RPP Settlement</t>
  </si>
  <si>
    <t>JE#</t>
  </si>
  <si>
    <t>Dec. 31, 2017</t>
  </si>
  <si>
    <t>Account 4707 - GA Charges</t>
  </si>
  <si>
    <t>Billings Energy Sales Accounts 4006-4055</t>
  </si>
  <si>
    <t>Billings Energy Sales Sub Accounts GA 4006-4055</t>
  </si>
  <si>
    <t>Account 1588 - RSVA Power</t>
  </si>
  <si>
    <t>Account 1589 - RSVA GA</t>
  </si>
  <si>
    <t>Notes</t>
  </si>
  <si>
    <t>JE #4 - IESO Cost of Power Reversal</t>
  </si>
  <si>
    <t>JE #3 - December RSVA Entry</t>
  </si>
  <si>
    <t>Cr. Account 1589 RSVA GA</t>
  </si>
  <si>
    <t>Jan. 1, 2018</t>
  </si>
  <si>
    <t>JE #5 - Reversal of Revenue Estimate Accrual</t>
  </si>
  <si>
    <t>Jan. 16, 2018</t>
  </si>
  <si>
    <t>JE #6 - IESO Cost of Power Invoice</t>
  </si>
  <si>
    <t>Jan. 31, 2018</t>
  </si>
  <si>
    <t>Dr. Account 1589 RSVA GA</t>
  </si>
  <si>
    <t>Dr. Account 1588 RSVA Power</t>
  </si>
  <si>
    <t>To record the monthly RSVA entry for January 2018.</t>
  </si>
  <si>
    <t>Data for Unbilled/Billed Entry for January, 2018:</t>
  </si>
  <si>
    <t>Table 12A: Estimated Retail Volume Revenue Data (TLF Included)</t>
  </si>
  <si>
    <t xml:space="preserve">Table 13A: Billed and Unbilled RPP Revenue Volume and Price Data for December consumption </t>
  </si>
  <si>
    <t xml:space="preserve">Table 16A: RPP Commodity Revenue Billed/Unbilled for December consumption </t>
  </si>
  <si>
    <t>February 1, 2018</t>
  </si>
  <si>
    <t>Amount Unbilled</t>
  </si>
  <si>
    <t>Amount billed</t>
  </si>
  <si>
    <t>January 2018 Billed and Unbilled Revenue from RPP &amp; non-RPP Customers for December consumption:</t>
  </si>
  <si>
    <t>Cr. Billings Energy Sales Accounts 4006-4055 non-RPP - unbilled</t>
  </si>
  <si>
    <t>Cr. Billings Energy Sales Accounts 4006-4055 Class B non-RPP GA - unbilled</t>
  </si>
  <si>
    <t>Total Unbilled Jan. 31, 2018</t>
  </si>
  <si>
    <t>Feb. 1, 2018</t>
  </si>
  <si>
    <t>Billed in January</t>
  </si>
  <si>
    <t>Billed in February</t>
  </si>
  <si>
    <t>February 28, 2018</t>
  </si>
  <si>
    <t>Feb. 28, 2018</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</si>
  <si>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</si>
  <si>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</si>
  <si>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</si>
  <si>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</si>
  <si>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</si>
  <si>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</si>
  <si>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</si>
  <si>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</si>
  <si>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</si>
  <si>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</si>
  <si>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</si>
  <si>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</si>
  <si>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</si>
  <si>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</si>
  <si>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</si>
  <si>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</si>
  <si>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</si>
  <si>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</si>
  <si>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</si>
  <si>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</si>
  <si>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</si>
  <si>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</si>
  <si>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</si>
  <si>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</si>
  <si>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#8 - Revenue Billed in January for December consumption</t>
  </si>
  <si>
    <t>JE #9 - Unbilled Revenue accrued for December consumption</t>
  </si>
  <si>
    <t>JE #10 - January RSVA Entry</t>
  </si>
  <si>
    <t>JE #11 - Reversal of Unbilled revenue recorded in January for December consumption</t>
  </si>
  <si>
    <t>JE #12- Actual Revenue Entries</t>
  </si>
  <si>
    <t>JE #13 - RPP Settlement 2nd True-up</t>
  </si>
  <si>
    <t>JE #14 - RPP/non-RPP ratio True-Up</t>
  </si>
  <si>
    <t>JE #15 - February RSVA Entry</t>
  </si>
  <si>
    <t>Table 2: Estimated Volumes purchased for RPP Customers (TLF Included)</t>
  </si>
  <si>
    <t>Table 11: Updated estimated Volumes purchased for RPP Customers (TLF Included)</t>
  </si>
  <si>
    <r>
      <t xml:space="preserve">To reverse revenue related accrual per JE #2. </t>
    </r>
    <r>
      <rPr>
        <b/>
        <sz val="11"/>
        <color theme="1"/>
        <rFont val="Calibri"/>
        <family val="2"/>
        <scheme val="minor"/>
      </rPr>
      <t>For illustrative purposes, the entire JE #2 is shown as a reversal, in practice, only the unbilled revenue journal entry from December 2017 would be reversed.</t>
    </r>
  </si>
  <si>
    <r>
      <t xml:space="preserve">To record the billings in January 2018 relating to December 2017 consumption. </t>
    </r>
    <r>
      <rPr>
        <b/>
        <sz val="11"/>
        <color theme="1"/>
        <rFont val="Calibri"/>
        <family val="2"/>
        <scheme val="minor"/>
      </rPr>
      <t xml:space="preserve"> For illustrative purposes the portion of billings in January 2018 that relate to December 2017 is being shown. In this example it is assumed that half of the December 2017 consumption is billed in January 2018 and the balance is billed in February 2018. In actual practice billings during the month of January 2018 may include billings for November 2017, December 2017 and January 2018 calendar month consumption. </t>
    </r>
  </si>
  <si>
    <r>
      <t xml:space="preserve">To record the billings in February 2018 relating to December 2017 consumption.  </t>
    </r>
    <r>
      <rPr>
        <b/>
        <sz val="11"/>
        <color theme="1"/>
        <rFont val="Calibri"/>
        <family val="2"/>
        <scheme val="minor"/>
      </rPr>
      <t xml:space="preserve">For illustrative purposes the portion of billings in February 2018 that relate to December 2017 is being shown. In this example it is assumed that half of the December 2017 consumption was billed in January 2018 and the balance was billed in February 2018. In actual practice billings during the month of February 2018 may include billings for December 2017,  January 2018, and February 2018 calendar month consumption. </t>
    </r>
  </si>
  <si>
    <t>RPP Settlement Calculation based on Actual GA Price on Business Day 4 of February 2018</t>
  </si>
  <si>
    <t>To record the monthly RSVA entry for February 2018.</t>
  </si>
  <si>
    <t>To record RPP Settlement 1st true-up for CT 1142 on business day 4 of February 2018 for the difference between GA 2nd Estimate price and GA Actual price (based on CT 148 total amount) and for actual wholesale kWh volumes.</t>
  </si>
  <si>
    <r>
      <t xml:space="preserve">To adjust allocation of CT 148 per IESO bill relating to actual RPP and non-RPP kWh proportions. </t>
    </r>
    <r>
      <rPr>
        <b/>
        <sz val="11"/>
        <color theme="1"/>
        <rFont val="Calibri"/>
        <family val="2"/>
        <scheme val="minor"/>
      </rPr>
      <t>In this Illustrative example it is assumed that the actual data is available by the end of February 2018.</t>
    </r>
  </si>
  <si>
    <t>Final RPP Settlement Calculation on Business Day 4 of March 2018</t>
  </si>
  <si>
    <t>RPP Settlement Calculation on Business Day 4 of February 2018 based on Actual GA Price</t>
  </si>
  <si>
    <t xml:space="preserve">Initial RPP Settlement Calculation on Business Day 4 of January 2018 </t>
  </si>
  <si>
    <r>
      <t xml:space="preserve">To accrue billings minus the previous months unbilled revenue plus the current month's unbilled revenues implicit in GL 4006 - 4055 for the month. See JE #5 for reversal entry in January 2018. </t>
    </r>
    <r>
      <rPr>
        <b/>
        <sz val="11"/>
        <color theme="1"/>
        <rFont val="Calibri"/>
        <family val="2"/>
        <scheme val="minor"/>
      </rPr>
      <t>The revenue estimate is shown as a single entry for illustrative purposes. Billing entries would come from daily Billing Journal transactions and the other components would be from the December 2017 month-end unbilled revenue accruals and the reversal of the November 2017 unbilled revenue accruals would be the remaining two journal entry sources.</t>
    </r>
  </si>
  <si>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</si>
  <si>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</si>
  <si>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</si>
  <si>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</si>
  <si>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</si>
  <si>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</si>
  <si>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</si>
  <si>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36: GA Analayis Workform Reconciling Items December 31, 2017</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</si>
  <si>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</si>
  <si>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</si>
  <si>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</si>
  <si>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</si>
  <si>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</si>
  <si>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</si>
  <si>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</si>
  <si>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</si>
  <si>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</si>
  <si>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r>
      <t xml:space="preserve">To accrue commodity cost of power expenses. Accrual of expenses for CT 101, CT 147, CT 148, and CT 1142. See JE #4 for reversal entry in January 2018.
</t>
    </r>
    <r>
      <rPr>
        <vertAlign val="superscript"/>
        <sz val="11"/>
        <rFont val="Calibri"/>
        <family val="2"/>
        <scheme val="minor"/>
      </rPr>
      <t>1</t>
    </r>
    <r>
      <rPr>
        <sz val="11"/>
        <rFont val="Calibri"/>
        <family val="2"/>
        <scheme val="minor"/>
      </rPr>
      <t xml:space="preserve">  Accruals for payments to Embedded Generators included in cost of power accrual.  </t>
    </r>
  </si>
  <si>
    <t>Table 35: DVA Continuity Schedule adjustments at December 31, 2017</t>
  </si>
  <si>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</si>
  <si>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</si>
  <si>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</si>
  <si>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</si>
  <si>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</si>
  <si>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</si>
  <si>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</si>
  <si>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Total for December 2017</t>
  </si>
  <si>
    <t>Subtotal for January, 2018</t>
  </si>
  <si>
    <t>Total for January 2018</t>
  </si>
  <si>
    <t>Jan. 16, 2019</t>
  </si>
  <si>
    <t>Jan. 16, 2020</t>
  </si>
  <si>
    <t>Total for February 2018</t>
  </si>
  <si>
    <t>Subtotal for January 2018</t>
  </si>
  <si>
    <t>Subtotal for February 2018</t>
  </si>
  <si>
    <t>Subtotal for December 2017</t>
  </si>
  <si>
    <t>Dr. Billings Energy Sales Accounts 4006-4055 Non-RPP GA</t>
  </si>
  <si>
    <t>JE #7 - RPP Settlement 1st True-Up</t>
  </si>
  <si>
    <t>If Books Open and IESO Bill Posted to Dec 31, 2017 G/L, no reconciling Item</t>
  </si>
  <si>
    <t>If Books Open and IESO Bill Posted to Dec 31, 2017 G/L, no DVA Continuity Adjustment</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</si>
  <si>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</si>
  <si>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</si>
  <si>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</si>
  <si>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</si>
  <si>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</si>
  <si>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</si>
  <si>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</si>
  <si>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</si>
  <si>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</si>
  <si>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</si>
  <si>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</si>
  <si>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</si>
  <si>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</si>
  <si>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</si>
  <si>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</si>
  <si>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</si>
  <si>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</si>
  <si>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</si>
  <si>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</si>
  <si>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</si>
  <si>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</si>
  <si>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</si>
  <si>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</si>
  <si>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</si>
  <si>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</si>
  <si>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</si>
  <si>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</si>
  <si>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</si>
  <si>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</si>
  <si>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</si>
  <si>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</si>
  <si>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</si>
  <si>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</si>
  <si>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</si>
  <si>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</si>
  <si>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</si>
  <si>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rPr>
        <vertAlign val="superscript"/>
        <sz val="11"/>
        <color theme="1"/>
        <rFont val="Calibri"/>
        <family val="2"/>
        <scheme val="minor"/>
      </rPr>
      <t>17</t>
    </r>
    <r>
      <rPr>
        <sz val="11"/>
        <color theme="1"/>
        <rFont val="Calibri"/>
        <family val="2"/>
        <scheme val="minor"/>
      </rPr>
      <t xml:space="preserve"> - February 2018 journal entry is required to adjust amounts apportioned between Class B RPP &amp; non-RPP since actual proportions are known.</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</si>
  <si>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</si>
  <si>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</si>
  <si>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</si>
  <si>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</si>
  <si>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</si>
  <si>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RSVA power account 1588 entry for December 2017, JE# 3</t>
  </si>
  <si>
    <t>RSVA GA account 1589 entry for December 2017, JE# 3</t>
  </si>
  <si>
    <t>RSVA power account 1588 entry for January 2018, JE# 10</t>
  </si>
  <si>
    <t>RSVA GA account 1589 for January 2018, JE# 10</t>
  </si>
  <si>
    <t>RSVA power account 1588 entry for February 2018, JE# 15</t>
  </si>
  <si>
    <t>RSVA GA account 1589 for February 2018, JE# 15</t>
  </si>
  <si>
    <t>Cr. Account 4705 - FIT program setttlement amount (CT 1412)</t>
  </si>
  <si>
    <r>
      <t xml:space="preserve">To record Actual charges re. CT 101, CT 147, CT 148, 1142, and CT 1412 on IESO invoice (on 10th business day of January 2018)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</si>
  <si>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</si>
  <si>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Dr. Billings Energy Sales Accounts 4006-4055  Sub-account GA</t>
  </si>
  <si>
    <t>To record the monthly RSVA entry for December 2017. No entry to Account 1588 as revenues and costs are equal.</t>
  </si>
  <si>
    <r>
      <rPr>
        <vertAlign val="superscript"/>
        <sz val="11"/>
        <color theme="1"/>
        <rFont val="Calibri"/>
        <family val="2"/>
        <scheme val="minor"/>
      </rPr>
      <t>1</t>
    </r>
    <r>
      <rPr>
        <sz val="11"/>
        <color theme="1"/>
        <rFont val="Calibri"/>
        <family val="2"/>
        <scheme val="minor"/>
      </rPr>
      <t xml:space="preserve"> - Allocated Quantity of Energy Withdrdrawn (AQEW) is the aggregate kWh energy withdrawn by a distributor from the
     transmission grid based on quantities as per delivery point energy totalization tables.
</t>
    </r>
    <r>
      <rPr>
        <vertAlign val="superscript"/>
        <sz val="11"/>
        <color theme="1"/>
        <rFont val="Calibri"/>
        <family val="2"/>
        <scheme val="minor"/>
      </rPr>
      <t>2</t>
    </r>
    <r>
      <rPr>
        <sz val="11"/>
        <color theme="1"/>
        <rFont val="Calibri"/>
        <family val="2"/>
        <scheme val="minor"/>
      </rPr>
      <t xml:space="preserve"> - The aggregate kWh's generated by embedded generators in the distributors service territory during the month, net 
      of generated quantities injected into the transmission grid. 
</t>
    </r>
    <r>
      <rPr>
        <vertAlign val="superscript"/>
        <sz val="11"/>
        <color theme="1"/>
        <rFont val="Calibri"/>
        <family val="2"/>
        <scheme val="minor"/>
      </rPr>
      <t>3</t>
    </r>
    <r>
      <rPr>
        <sz val="11"/>
        <color theme="1"/>
        <rFont val="Calibri"/>
        <family val="2"/>
        <scheme val="minor"/>
      </rPr>
      <t xml:space="preserve"> - Total estimated Class B RPP &amp; non-RPP kWh volumes used for RPP settlement purposes must be consistent with the 
     billings minus the previous months unbilled revenue plus the current month's unbilled revenues implicit in GL 4006 - 
     4055 for the month.
</t>
    </r>
    <r>
      <rPr>
        <vertAlign val="superscript"/>
        <sz val="11"/>
        <color theme="1"/>
        <rFont val="Calibri"/>
        <family val="2"/>
        <scheme val="minor"/>
      </rPr>
      <t>4</t>
    </r>
    <r>
      <rPr>
        <sz val="11"/>
        <color theme="1"/>
        <rFont val="Calibri"/>
        <family val="2"/>
        <scheme val="minor"/>
      </rPr>
      <t xml:space="preserve"> -Based on the aggregate amounts to be paid to the embedded generator.
</t>
    </r>
    <r>
      <rPr>
        <vertAlign val="superscript"/>
        <sz val="11"/>
        <color theme="1"/>
        <rFont val="Calibri"/>
        <family val="2"/>
        <scheme val="minor"/>
      </rPr>
      <t>5</t>
    </r>
    <r>
      <rPr>
        <sz val="11"/>
        <color theme="1"/>
        <rFont val="Calibri"/>
        <family val="2"/>
        <scheme val="minor"/>
      </rPr>
      <t xml:space="preserve"> - Class A GA is the sum of amounts for each Class A customer as calculated by multiplying the customer specific peak 
     demand factor by the provincial actual total GA dollars.
</t>
    </r>
    <r>
      <rPr>
        <vertAlign val="superscript"/>
        <sz val="11"/>
        <color theme="1"/>
        <rFont val="Calibri"/>
        <family val="2"/>
        <scheme val="minor"/>
      </rPr>
      <t>6</t>
    </r>
    <r>
      <rPr>
        <sz val="11"/>
        <color theme="1"/>
        <rFont val="Calibri"/>
        <family val="2"/>
        <scheme val="minor"/>
      </rPr>
      <t xml:space="preserve"> - Based on difference between amounts paid to the embedded generator and the wholesale market cost of power 
     amount to be used in embedded generator settlement with the IESO.</t>
    </r>
  </si>
  <si>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</si>
  <si>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</si>
  <si>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</si>
  <si>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</si>
  <si>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r>
      <rPr>
        <vertAlign val="superscript"/>
        <sz val="11"/>
        <rFont val="Calibri"/>
        <family val="2"/>
        <scheme val="minor"/>
      </rPr>
      <t>7</t>
    </r>
    <r>
      <rPr>
        <sz val="11"/>
        <rFont val="Calibri"/>
        <family val="2"/>
        <scheme val="minor"/>
      </rPr>
      <t xml:space="preserve"> -  Unit energy price for Class B non-RPP customers remains the same until actual sales data available.
</t>
    </r>
    <r>
      <rPr>
        <vertAlign val="superscript"/>
        <sz val="11"/>
        <rFont val="Calibri"/>
        <family val="2"/>
        <scheme val="minor"/>
      </rPr>
      <t>8</t>
    </r>
    <r>
      <rPr>
        <sz val="11"/>
        <rFont val="Calibri"/>
        <family val="2"/>
        <scheme val="minor"/>
      </rPr>
      <t xml:space="preserve"> -  Where there is a difference between the Class B GA actual posted rate and the Charge Type 148 - Class B GA Actual IESO billed price then 
      such difference should be confirmed with the IESO.
</t>
    </r>
    <r>
      <rPr>
        <vertAlign val="superscript"/>
        <sz val="11"/>
        <rFont val="Calibri"/>
        <family val="2"/>
        <scheme val="minor"/>
      </rPr>
      <t>9</t>
    </r>
    <r>
      <rPr>
        <sz val="11"/>
        <rFont val="Calibri"/>
        <family val="2"/>
        <scheme val="minor"/>
      </rPr>
      <t xml:space="preserve">  -  Actual GA billed price based on actual charges for CT 148 on IESO invoice divided by actual wholesale volumes.
</t>
    </r>
    <r>
      <rPr>
        <vertAlign val="superscript"/>
        <sz val="11"/>
        <rFont val="Calibri"/>
        <family val="2"/>
        <scheme val="minor"/>
      </rPr>
      <t>10</t>
    </r>
    <r>
      <rPr>
        <sz val="11"/>
        <rFont val="Calibri"/>
        <family val="2"/>
        <scheme val="minor"/>
      </rPr>
      <t xml:space="preserve"> - Actual GA billed price based on actual charges for CT 147 on IESO invoice.
</t>
    </r>
    <r>
      <rPr>
        <vertAlign val="superscript"/>
        <sz val="11"/>
        <rFont val="Calibri"/>
        <family val="2"/>
        <scheme val="minor"/>
      </rPr>
      <t>11</t>
    </r>
    <r>
      <rPr>
        <sz val="11"/>
        <rFont val="Calibri"/>
        <family val="2"/>
        <scheme val="minor"/>
      </rPr>
      <t xml:space="preserve"> - This is the initial RPP Settlement amount. 
</t>
    </r>
    <r>
      <rPr>
        <vertAlign val="superscript"/>
        <sz val="11"/>
        <rFont val="Calibri"/>
        <family val="2"/>
        <scheme val="minor"/>
      </rPr>
      <t>12</t>
    </r>
    <r>
      <rPr>
        <sz val="11"/>
        <rFont val="Calibri"/>
        <family val="2"/>
        <scheme val="minor"/>
      </rPr>
      <t xml:space="preserve">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COmmidity cost relating to 
        RPP customers pertains to the unaccounted for energy.</t>
    </r>
  </si>
  <si>
    <t>Table 17: Updated non-RPP Energy and GA Revenue Accrual</t>
  </si>
  <si>
    <r>
      <t xml:space="preserve">To record the unbilled revenue at the end of January 2018 relating to the portion of December 2017 consumption that still has not been billed by the end of January 2018. This entry will be reversed in February, (see JE #11). </t>
    </r>
    <r>
      <rPr>
        <b/>
        <sz val="11"/>
        <color theme="1"/>
        <rFont val="Calibri"/>
        <family val="2"/>
        <scheme val="minor"/>
      </rPr>
      <t>For illustrative purposes it is assumed that a portion of December 2017 consumption has still not been billed by the end of January 2018. In this example it is also assumed that the actual consumption related to this unbilled revenue entry is billed in February 2018. Note, the unbilled revenue relating to the January 2018 consumption has not been incorporated into this example. The focus of the Illustrative example relates to transactions for December 2017 consumption only.</t>
    </r>
  </si>
  <si>
    <t>Table 17A: Non-RPP Energy and GA Revenue Billed/Unbilled for December consumption</t>
  </si>
  <si>
    <t xml:space="preserve">To reverse the unbilled revenue entry JE#9 relating to December 2017 consumption recorded in January 2018. </t>
  </si>
  <si>
    <r>
      <t xml:space="preserve">To accrue 2nd true-up adjustment to CT 1142 for actual December 2017 kWh consumption sold at each RPP price point. </t>
    </r>
    <r>
      <rPr>
        <b/>
        <sz val="11"/>
        <color theme="1"/>
        <rFont val="Calibri"/>
        <family val="2"/>
        <scheme val="minor"/>
      </rPr>
      <t>In this illustrative example it is assumed that the 2nd true-up happens on business day 4 of March 2018 and is included in CT 1142 on the IESO invoice on business day 10 of March 2018. The illustrative example does not show the reversal of this entry on March 1, 2018, and then the recording of the same amount when the March 2018 IESO invoice is recorded.</t>
    </r>
  </si>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</sst>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s>
  <borders count="70">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09">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0" fontId="0" fillId="0" borderId="0" xfId="0" applyBorder="1"/>
    <xf numFmtId="166" fontId="0" fillId="0" borderId="0" xfId="1" applyNumberFormat="1" applyFont="1" applyFill="1"/>
    <xf numFmtId="167" fontId="0" fillId="0" borderId="0" xfId="0" applyNumberFormat="1"/>
    <xf numFmtId="0" fontId="2" fillId="0" borderId="0" xfId="0" applyFont="1"/>
    <xf numFmtId="0" fontId="0" fillId="0" borderId="0" xfId="0" applyFill="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0" fontId="0" fillId="0" borderId="0" xfId="0" applyFont="1"/>
    <xf numFmtId="166" fontId="0" fillId="0" borderId="1" xfId="0" applyNumberFormat="1" applyBorder="1"/>
    <xf numFmtId="10" fontId="0" fillId="0" borderId="1" xfId="0" applyNumberFormat="1" applyBorder="1"/>
    <xf numFmtId="166" fontId="0" fillId="0" borderId="0" xfId="3" applyNumberFormat="1" applyFont="1"/>
    <xf numFmtId="4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Border="1"/>
    <xf numFmtId="0" fontId="0" fillId="0" borderId="0" xfId="0" applyBorder="1" applyAlignment="1">
      <alignment horizontal="center"/>
    </xf>
    <xf numFmtId="167" fontId="0" fillId="0" borderId="0" xfId="0" applyNumberFormat="1" applyBorder="1"/>
    <xf numFmtId="166" fontId="0" fillId="0" borderId="0" xfId="0" applyNumberFormat="1" applyBorder="1"/>
    <xf numFmtId="168" fontId="0" fillId="0" borderId="0" xfId="0" applyNumberFormat="1" applyBorder="1"/>
    <xf numFmtId="0" fontId="2" fillId="0" borderId="0" xfId="0" applyFont="1" applyBorder="1" applyAlignment="1">
      <alignment horizontal="center"/>
    </xf>
    <xf numFmtId="0" fontId="2" fillId="0" borderId="0" xfId="0" applyFont="1" applyBorder="1" applyAlignment="1">
      <alignment horizontal="center" wrapText="1"/>
    </xf>
    <xf numFmtId="170" fontId="0" fillId="0" borderId="0" xfId="0" applyNumberFormat="1" applyBorder="1"/>
    <xf numFmtId="166" fontId="0" fillId="0" borderId="0" xfId="3" applyNumberFormat="1" applyFont="1" applyBorder="1"/>
    <xf numFmtId="165" fontId="0" fillId="0" borderId="0" xfId="0" applyNumberFormat="1"/>
    <xf numFmtId="0" fontId="3" fillId="0" borderId="0" xfId="0" applyFont="1" applyBorder="1"/>
    <xf numFmtId="0" fontId="2" fillId="0" borderId="0" xfId="0" applyFont="1" applyBorder="1" applyAlignment="1">
      <alignment wrapText="1"/>
    </xf>
    <xf numFmtId="167" fontId="0" fillId="0" borderId="0" xfId="2" applyNumberFormat="1" applyFont="1" applyBorder="1"/>
    <xf numFmtId="172" fontId="0" fillId="0" borderId="0" xfId="0" applyNumberFormat="1" applyBorder="1"/>
    <xf numFmtId="173" fontId="0" fillId="0" borderId="0" xfId="0" applyNumberFormat="1" applyBorder="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0" fontId="0" fillId="0" borderId="6" xfId="0" applyBorder="1"/>
    <xf numFmtId="170" fontId="0" fillId="0" borderId="7" xfId="0" applyNumberFormat="1" applyBorder="1"/>
    <xf numFmtId="167" fontId="0" fillId="0" borderId="7" xfId="2" applyNumberFormat="1" applyFont="1" applyBorder="1"/>
    <xf numFmtId="172" fontId="0" fillId="0" borderId="7" xfId="0" applyNumberFormat="1"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0" fontId="2" fillId="0" borderId="0" xfId="0" applyFont="1" applyAlignment="1">
      <alignment horizontal="center" wrapText="1"/>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0" fontId="2" fillId="0" borderId="0" xfId="0" applyFont="1" applyFill="1" applyBorder="1" applyAlignment="1">
      <alignment horizontal="center" wrapText="1"/>
    </xf>
    <xf numFmtId="167" fontId="0" fillId="0" borderId="0" xfId="0" applyNumberForma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0" fontId="0" fillId="2" borderId="0" xfId="3" applyNumberFormat="1" applyFont="1" applyFill="1"/>
    <xf numFmtId="166" fontId="5" fillId="0" borderId="0" xfId="1" applyNumberFormat="1" applyFont="1" applyFill="1"/>
    <xf numFmtId="170" fontId="0" fillId="0" borderId="0" xfId="2" applyNumberFormat="1" applyFont="1" applyFill="1"/>
    <xf numFmtId="164" fontId="0" fillId="0" borderId="0" xfId="0" applyNumberFormat="1"/>
    <xf numFmtId="172" fontId="0" fillId="0" borderId="0" xfId="0" applyNumberFormat="1"/>
    <xf numFmtId="164" fontId="0" fillId="0" borderId="0" xfId="0" applyNumberFormat="1" applyBorder="1"/>
    <xf numFmtId="43" fontId="0" fillId="0" borderId="0" xfId="0" applyNumberFormat="1"/>
    <xf numFmtId="0" fontId="2" fillId="0" borderId="2" xfId="0" applyFont="1" applyBorder="1" applyAlignment="1">
      <alignment wrapText="1"/>
    </xf>
    <xf numFmtId="10" fontId="0" fillId="0" borderId="1" xfId="3" applyNumberFormat="1" applyFont="1" applyBorder="1"/>
    <xf numFmtId="0" fontId="4" fillId="0" borderId="0" xfId="0" applyFont="1" applyBorder="1"/>
    <xf numFmtId="167" fontId="0" fillId="0" borderId="0" xfId="0" applyNumberFormat="1" applyFill="1" applyBorder="1"/>
    <xf numFmtId="0" fontId="2" fillId="0" borderId="0" xfId="0" applyFont="1" applyAlignment="1">
      <alignment horizontal="center"/>
    </xf>
    <xf numFmtId="166" fontId="0" fillId="0" borderId="8" xfId="1" applyNumberFormat="1" applyFont="1" applyFill="1" applyBorder="1"/>
    <xf numFmtId="0" fontId="6" fillId="0" borderId="0" xfId="0" applyFont="1"/>
    <xf numFmtId="10" fontId="0" fillId="0" borderId="0" xfId="3" applyNumberFormat="1" applyFont="1" applyBorder="1"/>
    <xf numFmtId="4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0" xfId="0" applyNumberFormat="1" applyFont="1" applyFill="1"/>
    <xf numFmtId="167" fontId="0" fillId="0" borderId="8" xfId="0" applyNumberFormat="1" applyBorder="1"/>
    <xf numFmtId="166" fontId="0" fillId="0" borderId="8" xfId="1" applyNumberFormat="1" applyFont="1" applyBorder="1"/>
    <xf numFmtId="0" fontId="0" fillId="0" borderId="0" xfId="0" applyAlignment="1"/>
    <xf numFmtId="43" fontId="0" fillId="0" borderId="0" xfId="1" applyFont="1"/>
    <xf numFmtId="0" fontId="0" fillId="0" borderId="0" xfId="0" applyAlignment="1">
      <alignment wrapText="1"/>
    </xf>
    <xf numFmtId="43" fontId="0" fillId="0" borderId="0" xfId="0" applyNumberFormat="1" applyAlignment="1">
      <alignment wrapText="1"/>
    </xf>
    <xf numFmtId="168" fontId="0" fillId="0" borderId="0" xfId="0" applyNumberFormat="1" applyFill="1"/>
    <xf numFmtId="0" fontId="0" fillId="0" borderId="0" xfId="0" applyFill="1" applyAlignment="1">
      <alignment horizontal="center"/>
    </xf>
    <xf numFmtId="166" fontId="0" fillId="0" borderId="0" xfId="1" applyNumberFormat="1" applyFont="1" applyAlignment="1">
      <alignment wrapText="1"/>
    </xf>
    <xf numFmtId="172" fontId="0" fillId="0" borderId="0" xfId="0" applyNumberFormat="1" applyFill="1"/>
    <xf numFmtId="166" fontId="0" fillId="0" borderId="0" xfId="0" applyNumberFormat="1" applyAlignment="1">
      <alignment wrapText="1"/>
    </xf>
    <xf numFmtId="0" fontId="2" fillId="0" borderId="0" xfId="0" applyFont="1" applyFill="1" applyAlignment="1">
      <alignment horizontal="center"/>
    </xf>
    <xf numFmtId="0" fontId="0" fillId="0" borderId="0" xfId="0" applyBorder="1" applyAlignment="1">
      <alignment wrapText="1"/>
    </xf>
    <xf numFmtId="166" fontId="0" fillId="0" borderId="0" xfId="0" applyNumberFormat="1" applyBorder="1" applyAlignment="1">
      <alignment wrapText="1"/>
    </xf>
    <xf numFmtId="0" fontId="0" fillId="0" borderId="0" xfId="0" applyFill="1" applyBorder="1"/>
    <xf numFmtId="166" fontId="0" fillId="0" borderId="0" xfId="0" applyNumberFormat="1" applyFill="1" applyBorder="1"/>
    <xf numFmtId="10" fontId="0" fillId="0" borderId="0" xfId="0" applyNumberFormat="1" applyFill="1"/>
    <xf numFmtId="0" fontId="3" fillId="0" borderId="0" xfId="0" applyFont="1" applyFill="1" applyBorder="1"/>
    <xf numFmtId="166" fontId="0" fillId="0" borderId="0" xfId="1" applyNumberFormat="1" applyFont="1" applyFill="1" applyBorder="1"/>
    <xf numFmtId="167" fontId="0" fillId="0" borderId="0" xfId="2" applyNumberFormat="1" applyFont="1" applyFill="1" applyBorder="1"/>
    <xf numFmtId="0" fontId="4" fillId="0" borderId="0" xfId="0" applyFont="1" applyFill="1" applyBorder="1"/>
    <xf numFmtId="0" fontId="2" fillId="0" borderId="0" xfId="0" applyFont="1" applyFill="1" applyBorder="1" applyAlignment="1">
      <alignment horizontal="center"/>
    </xf>
    <xf numFmtId="166" fontId="2" fillId="0" borderId="0" xfId="1" applyNumberFormat="1" applyFont="1" applyFill="1" applyBorder="1" applyAlignment="1">
      <alignment horizontal="center"/>
    </xf>
    <xf numFmtId="0" fontId="0" fillId="0" borderId="0" xfId="0" applyFill="1" applyBorder="1" applyAlignment="1">
      <alignment horizontal="right"/>
    </xf>
    <xf numFmtId="0" fontId="7" fillId="0" borderId="0" xfId="0" applyFont="1" applyFill="1"/>
    <xf numFmtId="0" fontId="2" fillId="0" borderId="0" xfId="0" applyFont="1" applyAlignment="1">
      <alignment horizontal="center"/>
    </xf>
    <xf numFmtId="0" fontId="2" fillId="0" borderId="0" xfId="0" applyFont="1" applyFill="1" applyAlignment="1">
      <alignment horizontal="center" wrapText="1"/>
    </xf>
    <xf numFmtId="0" fontId="2" fillId="0" borderId="0" xfId="0" applyFont="1" applyAlignment="1">
      <alignment horizontal="center"/>
    </xf>
    <xf numFmtId="0" fontId="0" fillId="0" borderId="0" xfId="0" applyAlignment="1">
      <alignment horizontal="center"/>
    </xf>
    <xf numFmtId="0" fontId="5" fillId="0" borderId="0" xfId="0" applyFont="1" applyFill="1" applyAlignment="1">
      <alignment horizontal="left" wrapText="1"/>
    </xf>
    <xf numFmtId="168" fontId="0" fillId="0" borderId="0" xfId="0" applyNumberFormat="1" applyFill="1" applyBorder="1"/>
    <xf numFmtId="166" fontId="0" fillId="0" borderId="0" xfId="0" applyNumberFormat="1" applyFill="1"/>
    <xf numFmtId="164" fontId="0" fillId="0" borderId="0" xfId="0" applyNumberFormat="1" applyFill="1"/>
    <xf numFmtId="165" fontId="0" fillId="0" borderId="0" xfId="0" applyNumberFormat="1" applyFill="1"/>
    <xf numFmtId="171" fontId="0" fillId="0" borderId="0" xfId="0" applyNumberFormat="1" applyFill="1"/>
    <xf numFmtId="44" fontId="0" fillId="0" borderId="0" xfId="0" applyNumberFormat="1" applyFill="1"/>
    <xf numFmtId="167" fontId="0" fillId="0" borderId="20" xfId="2" applyNumberFormat="1" applyFont="1" applyBorder="1"/>
    <xf numFmtId="0" fontId="0" fillId="0" borderId="2" xfId="0" applyBorder="1"/>
    <xf numFmtId="0" fontId="0" fillId="0" borderId="2" xfId="0" applyBorder="1" applyAlignment="1">
      <alignment wrapText="1"/>
    </xf>
    <xf numFmtId="168" fontId="0" fillId="0" borderId="14" xfId="2" applyNumberFormat="1" applyFont="1" applyBorder="1"/>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44" fontId="0" fillId="0" borderId="0" xfId="0" applyNumberFormat="1" applyAlignment="1">
      <alignment wrapText="1"/>
    </xf>
    <xf numFmtId="174" fontId="0" fillId="0" borderId="0" xfId="0" applyNumberFormat="1" applyAlignment="1">
      <alignment wrapText="1"/>
    </xf>
    <xf numFmtId="9" fontId="0" fillId="0" borderId="0" xfId="3" applyFont="1" applyBorder="1"/>
    <xf numFmtId="43" fontId="0" fillId="0" borderId="0" xfId="1" applyFont="1" applyBorder="1"/>
    <xf numFmtId="179" fontId="0" fillId="0" borderId="0" xfId="0" applyNumberFormat="1" applyBorder="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2" fillId="0" borderId="0" xfId="0" applyFont="1" applyAlignment="1">
      <alignment horizontal="center"/>
    </xf>
    <xf numFmtId="0" fontId="0" fillId="0" borderId="0" xfId="0" applyAlignment="1">
      <alignment horizontal="center"/>
    </xf>
    <xf numFmtId="0" fontId="0" fillId="0" borderId="5" xfId="0" applyFill="1" applyBorder="1" applyAlignment="1"/>
    <xf numFmtId="0" fontId="0" fillId="0" borderId="0" xfId="0" applyFill="1" applyBorder="1" applyAlignment="1"/>
    <xf numFmtId="44" fontId="0" fillId="0" borderId="0" xfId="0" applyNumberFormat="1" applyAlignment="1"/>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applyAlignment="1"/>
    <xf numFmtId="0" fontId="2" fillId="0" borderId="0" xfId="0" applyFont="1" applyFill="1" applyAlignment="1">
      <alignment horizontal="left"/>
    </xf>
    <xf numFmtId="168" fontId="0" fillId="0" borderId="14" xfId="2" applyNumberFormat="1" applyFont="1" applyFill="1" applyBorder="1"/>
    <xf numFmtId="44" fontId="0" fillId="0" borderId="0" xfId="2" applyFont="1" applyFill="1"/>
    <xf numFmtId="10" fontId="0" fillId="0" borderId="0" xfId="3" applyNumberFormat="1" applyFont="1" applyFill="1" applyBorder="1"/>
    <xf numFmtId="0" fontId="5" fillId="0" borderId="0" xfId="0" applyFont="1" applyFill="1" applyAlignment="1">
      <alignment horizontal="left" wrapText="1"/>
    </xf>
    <xf numFmtId="0" fontId="0" fillId="0" borderId="0" xfId="0" applyFill="1" applyAlignment="1">
      <alignment horizontal="left" wrapText="1"/>
    </xf>
    <xf numFmtId="0" fontId="2" fillId="0" borderId="0" xfId="0" applyFont="1" applyFill="1" applyAlignment="1">
      <alignment horizontal="center"/>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5" fillId="0" borderId="0" xfId="0" applyFont="1" applyFill="1" applyAlignment="1">
      <alignment horizontal="left" wrapText="1"/>
    </xf>
    <xf numFmtId="0" fontId="0" fillId="0" borderId="0" xfId="0" applyFill="1" applyAlignment="1">
      <alignment horizontal="left" wrapText="1"/>
    </xf>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0" fontId="5" fillId="0" borderId="0" xfId="0" applyFont="1" applyAlignment="1">
      <alignment horizontal="center"/>
    </xf>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8" fontId="0" fillId="6" borderId="1" xfId="2" applyNumberFormat="1" applyFont="1" applyFill="1" applyBorder="1"/>
    <xf numFmtId="0" fontId="0" fillId="6" borderId="0" xfId="0" quotePrefix="1" applyFill="1"/>
    <xf numFmtId="166" fontId="0" fillId="6" borderId="0" xfId="1" applyNumberFormat="1" applyFont="1" applyFill="1"/>
    <xf numFmtId="168" fontId="0" fillId="6" borderId="0" xfId="2" applyNumberFormat="1" applyFont="1" applyFill="1"/>
    <xf numFmtId="168" fontId="0" fillId="7" borderId="1" xfId="2" applyNumberFormat="1" applyFont="1" applyFill="1" applyBorder="1"/>
    <xf numFmtId="0" fontId="16" fillId="0" borderId="0" xfId="0" applyFont="1" applyFill="1" applyAlignment="1">
      <alignment horizontal="left"/>
    </xf>
    <xf numFmtId="0" fontId="13" fillId="0" borderId="0" xfId="0" applyFont="1" applyFill="1"/>
    <xf numFmtId="0" fontId="0" fillId="0" borderId="0" xfId="0" applyFill="1" applyAlignment="1">
      <alignment horizontal="left" wrapText="1"/>
    </xf>
    <xf numFmtId="0" fontId="5" fillId="0" borderId="0" xfId="0" applyFont="1" applyFill="1" applyAlignment="1">
      <alignment horizontal="left" wrapText="1"/>
    </xf>
    <xf numFmtId="0" fontId="5" fillId="0" borderId="0" xfId="0" applyFont="1" applyFill="1"/>
    <xf numFmtId="0" fontId="5" fillId="0" borderId="0" xfId="0" applyFont="1" applyFill="1" applyAlignment="1">
      <alignment wrapText="1"/>
    </xf>
    <xf numFmtId="0" fontId="0" fillId="7" borderId="0" xfId="0" applyFill="1" applyAlignment="1">
      <alignment horizontal="left" wrapText="1"/>
    </xf>
    <xf numFmtId="0" fontId="0" fillId="0" borderId="4" xfId="0" applyBorder="1"/>
    <xf numFmtId="0" fontId="0" fillId="0" borderId="25" xfId="0" applyBorder="1"/>
    <xf numFmtId="166" fontId="0" fillId="4" borderId="26" xfId="0" applyNumberFormat="1" applyFill="1" applyBorder="1"/>
    <xf numFmtId="166" fontId="0" fillId="0" borderId="27" xfId="0" applyNumberFormat="1" applyFill="1" applyBorder="1"/>
    <xf numFmtId="166" fontId="0" fillId="0" borderId="0" xfId="0" applyNumberFormat="1" applyFill="1" applyBorder="1" applyAlignment="1">
      <alignment wrapText="1"/>
    </xf>
    <xf numFmtId="0" fontId="2" fillId="0" borderId="0" xfId="0" applyFont="1" applyAlignment="1">
      <alignment horizontal="center"/>
    </xf>
    <xf numFmtId="0" fontId="0" fillId="0" borderId="0" xfId="0" applyAlignment="1">
      <alignment horizontal="center"/>
    </xf>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Fill="1" applyAlignment="1">
      <alignment horizontal="right"/>
    </xf>
    <xf numFmtId="168" fontId="0" fillId="0" borderId="29" xfId="2" applyNumberFormat="1" applyFont="1" applyBorder="1"/>
    <xf numFmtId="168" fontId="1" fillId="0" borderId="11" xfId="2" applyNumberFormat="1" applyFont="1" applyBorder="1"/>
    <xf numFmtId="168" fontId="1" fillId="0" borderId="0" xfId="2" applyNumberFormat="1" applyFont="1"/>
    <xf numFmtId="168" fontId="0" fillId="0" borderId="0" xfId="0" applyNumberFormat="1" applyFont="1"/>
    <xf numFmtId="0" fontId="0" fillId="0" borderId="0" xfId="0" applyBorder="1" applyAlignment="1">
      <alignment horizontal="center"/>
    </xf>
    <xf numFmtId="0" fontId="0" fillId="0" borderId="0" xfId="0" applyAlignment="1">
      <alignment horizontal="center"/>
    </xf>
    <xf numFmtId="165" fontId="0" fillId="0" borderId="0" xfId="1" applyNumberFormat="1" applyFont="1" applyBorder="1"/>
    <xf numFmtId="0" fontId="0" fillId="0" borderId="2" xfId="0" applyBorder="1" applyAlignment="1">
      <alignment horizontal="center" wrapText="1"/>
    </xf>
    <xf numFmtId="43" fontId="0" fillId="0" borderId="2" xfId="0" applyNumberFormat="1" applyBorder="1" applyAlignment="1">
      <alignment horizontal="center" wrapText="1"/>
    </xf>
    <xf numFmtId="0" fontId="0" fillId="0" borderId="2" xfId="0" applyFill="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Fill="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166" fontId="0" fillId="0" borderId="40" xfId="0" applyNumberFormat="1" applyFill="1"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3" xfId="0" applyBorder="1" applyAlignment="1"/>
    <xf numFmtId="0" fontId="0" fillId="0" borderId="2" xfId="0" applyFont="1" applyBorder="1"/>
    <xf numFmtId="0" fontId="0" fillId="0" borderId="15" xfId="0" applyFont="1"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0" fillId="0" borderId="4" xfId="0" applyBorder="1" applyAlignment="1"/>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167" fontId="0" fillId="0" borderId="47" xfId="0" applyNumberFormat="1" applyBorder="1"/>
    <xf numFmtId="0" fontId="0" fillId="0" borderId="47" xfId="0" applyBorder="1"/>
    <xf numFmtId="167" fontId="0" fillId="0" borderId="2" xfId="0" applyNumberFormat="1"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50" xfId="1" applyNumberFormat="1" applyFont="1" applyBorder="1"/>
    <xf numFmtId="166" fontId="0" fillId="0" borderId="51" xfId="0" applyNumberFormat="1" applyBorder="1"/>
    <xf numFmtId="166" fontId="0" fillId="0" borderId="16" xfId="0" applyNumberFormat="1" applyBorder="1"/>
    <xf numFmtId="166" fontId="0" fillId="0" borderId="27" xfId="0" applyNumberFormat="1" applyBorder="1"/>
    <xf numFmtId="167" fontId="0" fillId="0" borderId="16" xfId="0" applyNumberFormat="1" applyBorder="1"/>
    <xf numFmtId="0" fontId="0" fillId="0" borderId="22" xfId="0" applyBorder="1"/>
    <xf numFmtId="166" fontId="0" fillId="0" borderId="17" xfId="0" applyNumberFormat="1" applyBorder="1"/>
    <xf numFmtId="43"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Border="1" applyAlignment="1">
      <alignment horizontal="left"/>
    </xf>
    <xf numFmtId="166" fontId="0" fillId="0" borderId="54" xfId="0" applyNumberFormat="1" applyFill="1" applyBorder="1" applyAlignment="1">
      <alignment wrapText="1"/>
    </xf>
    <xf numFmtId="167" fontId="0" fillId="0" borderId="55" xfId="2" applyNumberFormat="1" applyFont="1" applyFill="1" applyBorder="1" applyAlignment="1">
      <alignment wrapText="1"/>
    </xf>
    <xf numFmtId="168" fontId="0" fillId="0" borderId="56" xfId="0" applyNumberFormat="1" applyFill="1" applyBorder="1" applyAlignment="1">
      <alignment wrapText="1"/>
    </xf>
    <xf numFmtId="166" fontId="0" fillId="0" borderId="57" xfId="0" applyNumberFormat="1" applyBorder="1" applyAlignment="1">
      <alignment wrapText="1"/>
    </xf>
    <xf numFmtId="167" fontId="0" fillId="0" borderId="28" xfId="2" applyNumberFormat="1" applyFont="1" applyFill="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8" fontId="0" fillId="0" borderId="56" xfId="0" applyNumberForma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applyAlignment="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0" fontId="3" fillId="0" borderId="0" xfId="0" applyFont="1" applyProtection="1"/>
    <xf numFmtId="0" fontId="2" fillId="0" borderId="0" xfId="0" applyFont="1" applyProtection="1"/>
    <xf numFmtId="0" fontId="0" fillId="0" borderId="0" xfId="0" applyProtection="1"/>
    <xf numFmtId="0" fontId="2" fillId="0" borderId="0" xfId="0" applyFont="1" applyAlignment="1" applyProtection="1">
      <alignment horizontal="center" wrapText="1"/>
    </xf>
    <xf numFmtId="0" fontId="2" fillId="0" borderId="0" xfId="0" applyFont="1" applyAlignment="1" applyProtection="1">
      <alignment horizontal="center"/>
    </xf>
    <xf numFmtId="0" fontId="0" fillId="0" borderId="0" xfId="0" applyFont="1" applyProtection="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66" fontId="0" fillId="0" borderId="0" xfId="0" applyNumberFormat="1" applyProtection="1"/>
    <xf numFmtId="10" fontId="0" fillId="0" borderId="0" xfId="3" applyNumberFormat="1" applyFont="1" applyFill="1" applyProtection="1"/>
    <xf numFmtId="176" fontId="0" fillId="0" borderId="0" xfId="1" applyNumberFormat="1" applyFont="1" applyProtection="1"/>
    <xf numFmtId="0" fontId="0" fillId="0" borderId="0" xfId="0" applyFill="1" applyProtection="1"/>
    <xf numFmtId="10" fontId="0" fillId="0" borderId="1" xfId="0" applyNumberFormat="1" applyBorder="1" applyProtection="1"/>
    <xf numFmtId="166" fontId="0" fillId="0" borderId="1" xfId="0" applyNumberFormat="1" applyBorder="1" applyProtection="1"/>
    <xf numFmtId="0" fontId="15" fillId="0" borderId="0" xfId="0" applyFont="1" applyFill="1" applyProtection="1"/>
    <xf numFmtId="0" fontId="4" fillId="0" borderId="0" xfId="0" applyFont="1" applyFill="1" applyProtection="1"/>
    <xf numFmtId="0" fontId="4" fillId="0" borderId="0" xfId="0" applyFont="1" applyProtection="1"/>
    <xf numFmtId="0" fontId="2" fillId="0" borderId="0" xfId="0" applyFont="1" applyFill="1" applyAlignment="1" applyProtection="1">
      <alignment horizontal="center" wrapText="1"/>
    </xf>
    <xf numFmtId="170" fontId="0" fillId="0" borderId="0" xfId="2" applyNumberFormat="1" applyFont="1" applyFill="1" applyProtection="1"/>
    <xf numFmtId="0" fontId="0" fillId="0" borderId="0" xfId="0" applyAlignment="1" applyProtection="1">
      <alignment horizontal="center"/>
    </xf>
    <xf numFmtId="10" fontId="0" fillId="2" borderId="0" xfId="3" applyNumberFormat="1" applyFont="1" applyFill="1" applyProtection="1"/>
    <xf numFmtId="170" fontId="0" fillId="2" borderId="0" xfId="2" applyNumberFormat="1" applyFont="1" applyFill="1" applyProtection="1"/>
    <xf numFmtId="170" fontId="0" fillId="0" borderId="0" xfId="2" applyNumberFormat="1" applyFont="1" applyProtection="1"/>
    <xf numFmtId="10" fontId="0" fillId="0" borderId="0" xfId="0" applyNumberFormat="1" applyFill="1" applyBorder="1" applyProtection="1"/>
    <xf numFmtId="0" fontId="2" fillId="0" borderId="0" xfId="0" applyFont="1" applyFill="1" applyProtection="1"/>
    <xf numFmtId="0" fontId="2" fillId="0" borderId="0" xfId="0" applyFont="1" applyFill="1" applyAlignment="1" applyProtection="1">
      <alignment horizontal="center"/>
    </xf>
    <xf numFmtId="167" fontId="0" fillId="0" borderId="0" xfId="0" applyNumberFormat="1" applyFill="1" applyProtection="1"/>
    <xf numFmtId="168" fontId="0" fillId="0" borderId="0" xfId="0" applyNumberFormat="1" applyProtection="1"/>
    <xf numFmtId="43" fontId="0" fillId="0" borderId="0" xfId="1" applyNumberFormat="1" applyFont="1" applyProtection="1"/>
    <xf numFmtId="43" fontId="0" fillId="0" borderId="0" xfId="1" applyNumberFormat="1" applyFont="1" applyFill="1" applyProtection="1"/>
    <xf numFmtId="43" fontId="0" fillId="0" borderId="0" xfId="0" applyNumberFormat="1" applyProtection="1"/>
    <xf numFmtId="43" fontId="0" fillId="0" borderId="0" xfId="0" applyNumberForma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0" applyNumberFormat="1" applyProtection="1"/>
    <xf numFmtId="167" fontId="0" fillId="0" borderId="0" xfId="2" applyNumberFormat="1" applyFont="1" applyFill="1" applyBorder="1" applyProtection="1"/>
    <xf numFmtId="168" fontId="0" fillId="2" borderId="0" xfId="0" applyNumberFormat="1" applyFill="1" applyProtection="1"/>
    <xf numFmtId="168" fontId="0" fillId="0" borderId="0" xfId="0" applyNumberFormat="1" applyFill="1" applyProtection="1"/>
    <xf numFmtId="174" fontId="0" fillId="0" borderId="0" xfId="0" applyNumberFormat="1" applyProtection="1"/>
    <xf numFmtId="174" fontId="0" fillId="0" borderId="0" xfId="1" applyNumberFormat="1" applyFont="1" applyProtection="1"/>
    <xf numFmtId="165" fontId="0" fillId="0" borderId="0" xfId="0" applyNumberFormat="1" applyProtection="1"/>
    <xf numFmtId="182" fontId="0" fillId="0" borderId="0" xfId="0" applyNumberFormat="1" applyProtection="1"/>
    <xf numFmtId="175" fontId="0" fillId="0" borderId="0" xfId="0" applyNumberFormat="1" applyProtection="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81" fontId="0" fillId="2" borderId="0" xfId="2" applyNumberFormat="1" applyFont="1" applyFill="1" applyProtection="1"/>
    <xf numFmtId="168" fontId="0" fillId="2" borderId="0" xfId="2" applyNumberFormat="1" applyFont="1" applyFill="1" applyProtection="1"/>
    <xf numFmtId="168" fontId="0" fillId="0" borderId="0" xfId="2" applyNumberFormat="1" applyFont="1" applyFill="1" applyProtection="1"/>
    <xf numFmtId="168" fontId="0" fillId="0" borderId="1" xfId="2" applyNumberFormat="1" applyFont="1" applyFill="1" applyBorder="1" applyProtection="1"/>
    <xf numFmtId="44" fontId="0" fillId="0" borderId="0" xfId="2" applyFont="1" applyProtection="1"/>
    <xf numFmtId="44" fontId="0" fillId="0" borderId="0" xfId="2" applyFont="1" applyFill="1" applyProtection="1"/>
    <xf numFmtId="168" fontId="0" fillId="0" borderId="0" xfId="2" applyNumberFormat="1" applyFont="1" applyFill="1" applyBorder="1" applyProtection="1"/>
    <xf numFmtId="171" fontId="0" fillId="0" borderId="0" xfId="0" applyNumberFormat="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7" fontId="0" fillId="0" borderId="0" xfId="0" applyNumberFormat="1" applyFont="1" applyProtection="1"/>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68" fontId="0" fillId="0" borderId="24" xfId="0" applyNumberFormat="1" applyBorder="1" applyProtection="1"/>
    <xf numFmtId="177" fontId="0" fillId="0" borderId="0" xfId="3" applyNumberFormat="1" applyFont="1" applyBorder="1" applyProtection="1"/>
    <xf numFmtId="44" fontId="0" fillId="0" borderId="0" xfId="0" applyNumberFormat="1" applyProtection="1"/>
    <xf numFmtId="181" fontId="0" fillId="0" borderId="0" xfId="2" applyNumberFormat="1" applyFont="1" applyFill="1" applyProtection="1"/>
    <xf numFmtId="43" fontId="0" fillId="0" borderId="0" xfId="1" applyNumberFormat="1" applyFont="1" applyBorder="1" applyProtection="1"/>
    <xf numFmtId="167" fontId="0" fillId="0" borderId="8" xfId="0" applyNumberFormat="1" applyBorder="1" applyProtection="1"/>
    <xf numFmtId="166" fontId="0" fillId="0" borderId="8" xfId="1" applyNumberFormat="1" applyFont="1" applyBorder="1" applyProtection="1"/>
    <xf numFmtId="168" fontId="0" fillId="0" borderId="1" xfId="0" applyNumberFormat="1" applyBorder="1" applyProtection="1"/>
    <xf numFmtId="0" fontId="0" fillId="0" borderId="0" xfId="0" applyAlignment="1" applyProtection="1">
      <alignment wrapText="1"/>
    </xf>
    <xf numFmtId="0" fontId="0" fillId="0" borderId="0" xfId="0" applyFill="1" applyBorder="1" applyProtection="1"/>
    <xf numFmtId="167" fontId="0" fillId="0" borderId="0" xfId="0" applyNumberFormat="1" applyFill="1" applyBorder="1" applyProtection="1"/>
    <xf numFmtId="166" fontId="0" fillId="0" borderId="0" xfId="1" applyNumberFormat="1" applyFont="1" applyFill="1" applyBorder="1" applyProtection="1"/>
    <xf numFmtId="168" fontId="0" fillId="0" borderId="0" xfId="0" applyNumberFormat="1" applyFill="1" applyBorder="1" applyProtection="1"/>
    <xf numFmtId="183" fontId="0" fillId="0" borderId="0" xfId="1" applyNumberFormat="1" applyFont="1" applyProtection="1"/>
    <xf numFmtId="183" fontId="0" fillId="0" borderId="0" xfId="1" applyNumberFormat="1" applyFont="1"/>
    <xf numFmtId="182" fontId="0" fillId="0" borderId="0" xfId="0" applyNumberFormat="1"/>
    <xf numFmtId="184" fontId="0" fillId="0" borderId="0" xfId="0" applyNumberFormat="1"/>
    <xf numFmtId="185" fontId="0" fillId="0" borderId="0" xfId="0" applyNumberFormat="1"/>
    <xf numFmtId="185" fontId="0" fillId="0" borderId="0" xfId="1" applyNumberFormat="1" applyFont="1"/>
    <xf numFmtId="178" fontId="0" fillId="0" borderId="0" xfId="0" applyNumberFormat="1" applyFill="1"/>
    <xf numFmtId="180" fontId="0" fillId="0" borderId="0" xfId="0" applyNumberFormat="1" applyProtection="1"/>
    <xf numFmtId="179" fontId="0" fillId="0" borderId="0" xfId="1" applyNumberFormat="1" applyFont="1" applyBorder="1"/>
    <xf numFmtId="178" fontId="0" fillId="0" borderId="0" xfId="3" applyNumberFormat="1" applyFont="1" applyBorder="1"/>
    <xf numFmtId="186" fontId="0" fillId="0" borderId="0" xfId="2" applyNumberFormat="1" applyFont="1" applyBorder="1"/>
    <xf numFmtId="181" fontId="0" fillId="0" borderId="0" xfId="0" applyNumberFormat="1" applyProtection="1"/>
    <xf numFmtId="164" fontId="0" fillId="0" borderId="0" xfId="0" applyNumberFormat="1" applyProtection="1"/>
    <xf numFmtId="164" fontId="0" fillId="0" borderId="0" xfId="2" applyNumberFormat="1" applyFont="1" applyFill="1" applyProtection="1"/>
    <xf numFmtId="168" fontId="2" fillId="0" borderId="0" xfId="0" applyNumberFormat="1" applyFont="1" applyFill="1" applyProtection="1"/>
    <xf numFmtId="183" fontId="0" fillId="0" borderId="0" xfId="0" applyNumberFormat="1" applyBorder="1"/>
    <xf numFmtId="165" fontId="0" fillId="0" borderId="0" xfId="0" applyNumberFormat="1" applyBorder="1"/>
    <xf numFmtId="0" fontId="0" fillId="0" borderId="0" xfId="0" applyFill="1" applyBorder="1" applyAlignment="1">
      <alignment horizontal="center"/>
    </xf>
    <xf numFmtId="0" fontId="0" fillId="0" borderId="61" xfId="0" quotePrefix="1" applyFill="1" applyBorder="1"/>
    <xf numFmtId="0" fontId="0" fillId="0" borderId="62" xfId="0" applyFill="1" applyBorder="1"/>
    <xf numFmtId="166" fontId="0" fillId="0" borderId="62" xfId="1" applyNumberFormat="1" applyFont="1" applyFill="1" applyBorder="1"/>
    <xf numFmtId="166" fontId="0" fillId="0" borderId="63" xfId="1" applyNumberFormat="1" applyFont="1" applyFill="1" applyBorder="1"/>
    <xf numFmtId="0" fontId="0" fillId="0" borderId="64" xfId="0" applyFill="1" applyBorder="1"/>
    <xf numFmtId="0" fontId="0" fillId="0" borderId="65" xfId="0" applyFill="1" applyBorder="1" applyAlignment="1">
      <alignment horizontal="center"/>
    </xf>
    <xf numFmtId="0" fontId="2" fillId="0" borderId="64" xfId="0" applyFont="1" applyFill="1" applyBorder="1" applyAlignment="1">
      <alignment horizontal="center"/>
    </xf>
    <xf numFmtId="0" fontId="2" fillId="0" borderId="65" xfId="0" applyFont="1" applyFill="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Fill="1" applyBorder="1"/>
    <xf numFmtId="169" fontId="0" fillId="0" borderId="0" xfId="0" applyNumberFormat="1" applyFill="1" applyBorder="1"/>
    <xf numFmtId="0" fontId="0" fillId="0" borderId="65" xfId="0" applyFill="1" applyBorder="1"/>
    <xf numFmtId="169" fontId="0" fillId="0" borderId="65" xfId="0" applyNumberFormat="1" applyFill="1" applyBorder="1"/>
    <xf numFmtId="0" fontId="0" fillId="0" borderId="61" xfId="0" applyFill="1" applyBorder="1" applyAlignment="1">
      <alignment vertical="top"/>
    </xf>
    <xf numFmtId="0" fontId="0" fillId="7" borderId="64" xfId="0" applyFill="1" applyBorder="1"/>
    <xf numFmtId="0" fontId="0" fillId="7" borderId="0" xfId="0" applyFill="1" applyBorder="1"/>
    <xf numFmtId="0" fontId="0" fillId="7" borderId="0" xfId="0" applyFill="1" applyBorder="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Border="1" applyAlignment="1">
      <alignment horizontal="center"/>
    </xf>
    <xf numFmtId="0" fontId="2" fillId="7" borderId="65" xfId="0" applyFont="1" applyFill="1" applyBorder="1" applyAlignment="1">
      <alignment horizontal="center"/>
    </xf>
    <xf numFmtId="168" fontId="0" fillId="7" borderId="0" xfId="0" applyNumberFormat="1" applyFill="1" applyBorder="1"/>
    <xf numFmtId="168" fontId="0" fillId="7" borderId="65" xfId="0" applyNumberFormat="1" applyFill="1" applyBorder="1"/>
    <xf numFmtId="0" fontId="0" fillId="7" borderId="64" xfId="0" applyFill="1" applyBorder="1" applyAlignment="1">
      <alignment wrapText="1"/>
    </xf>
    <xf numFmtId="0" fontId="0" fillId="7" borderId="0" xfId="0" applyFill="1" applyBorder="1" applyAlignment="1">
      <alignment wrapText="1"/>
    </xf>
    <xf numFmtId="168" fontId="0" fillId="7" borderId="66" xfId="2" applyNumberFormat="1" applyFont="1" applyFill="1" applyBorder="1"/>
    <xf numFmtId="168" fontId="0" fillId="0" borderId="65" xfId="0" applyNumberFormat="1" applyFill="1" applyBorder="1"/>
    <xf numFmtId="0" fontId="12" fillId="0" borderId="0" xfId="0" applyFont="1" applyFill="1" applyAlignment="1">
      <alignment horizontal="center"/>
    </xf>
    <xf numFmtId="0" fontId="14" fillId="0" borderId="0" xfId="0" applyFont="1" applyFill="1" applyAlignment="1">
      <alignment horizontal="center"/>
    </xf>
    <xf numFmtId="0" fontId="0" fillId="0" borderId="0" xfId="0" applyFill="1" applyBorder="1" applyAlignment="1">
      <alignment horizontal="left" wrapText="1"/>
    </xf>
    <xf numFmtId="0" fontId="21" fillId="0" borderId="0" xfId="0" applyFont="1" applyAlignment="1" applyProtection="1">
      <alignment horizontal="center"/>
    </xf>
    <xf numFmtId="0" fontId="15" fillId="0" borderId="0" xfId="0" applyFont="1" applyProtection="1"/>
    <xf numFmtId="0" fontId="0" fillId="0" borderId="62" xfId="0" applyFill="1" applyBorder="1" applyAlignment="1">
      <alignment horizontal="left" wrapText="1"/>
    </xf>
    <xf numFmtId="0" fontId="0" fillId="0" borderId="63" xfId="0" applyFill="1" applyBorder="1" applyAlignment="1">
      <alignment horizontal="left" wrapText="1"/>
    </xf>
    <xf numFmtId="0" fontId="0" fillId="0" borderId="65" xfId="0" applyFill="1" applyBorder="1" applyAlignment="1">
      <alignment horizontal="left" wrapText="1"/>
    </xf>
    <xf numFmtId="0" fontId="0" fillId="0" borderId="67" xfId="0" applyFill="1" applyBorder="1"/>
    <xf numFmtId="0" fontId="0" fillId="0" borderId="68" xfId="0" applyFill="1" applyBorder="1"/>
    <xf numFmtId="168" fontId="0" fillId="0" borderId="68" xfId="2" applyNumberFormat="1" applyFont="1" applyFill="1" applyBorder="1"/>
    <xf numFmtId="168" fontId="0" fillId="0" borderId="69" xfId="2" applyNumberFormat="1" applyFont="1" applyFill="1" applyBorder="1"/>
    <xf numFmtId="0" fontId="0" fillId="0" borderId="69" xfId="0" applyFill="1" applyBorder="1"/>
    <xf numFmtId="168" fontId="0" fillId="0" borderId="0" xfId="0" applyNumberFormat="1" applyFont="1" applyFill="1" applyBorder="1" applyAlignment="1">
      <alignment horizontal="center"/>
    </xf>
    <xf numFmtId="168" fontId="0" fillId="0" borderId="62" xfId="2" applyNumberFormat="1" applyFont="1" applyFill="1" applyBorder="1"/>
    <xf numFmtId="168" fontId="0" fillId="0" borderId="63" xfId="2" applyNumberFormat="1" applyFont="1" applyFill="1" applyBorder="1"/>
    <xf numFmtId="0" fontId="0" fillId="0" borderId="0" xfId="0" applyAlignment="1" applyProtection="1">
      <alignment horizontal="left" wrapText="1"/>
    </xf>
    <xf numFmtId="0" fontId="0" fillId="0" borderId="0" xfId="0" applyAlignment="1" applyProtection="1">
      <alignment horizontal="left" vertical="center" wrapText="1"/>
    </xf>
    <xf numFmtId="0" fontId="5"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center"/>
    </xf>
    <xf numFmtId="0" fontId="0" fillId="0" borderId="0" xfId="0" applyAlignment="1">
      <alignment horizontal="center"/>
    </xf>
    <xf numFmtId="0" fontId="20" fillId="0" borderId="0" xfId="0" applyFont="1" applyAlignment="1">
      <alignment horizontal="center"/>
    </xf>
    <xf numFmtId="0" fontId="11" fillId="3" borderId="35"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0" fontId="11" fillId="3" borderId="46" xfId="0" applyFont="1" applyFill="1" applyBorder="1" applyAlignment="1">
      <alignment horizontal="center"/>
    </xf>
    <xf numFmtId="168" fontId="0" fillId="0" borderId="5" xfId="0" applyNumberFormat="1" applyBorder="1" applyAlignment="1">
      <alignment horizontal="center" wrapText="1"/>
    </xf>
    <xf numFmtId="168" fontId="0" fillId="0" borderId="0" xfId="0" applyNumberFormat="1" applyBorder="1" applyAlignment="1">
      <alignment horizontal="center" wrapText="1"/>
    </xf>
    <xf numFmtId="168" fontId="0" fillId="0" borderId="18" xfId="0" applyNumberFormat="1" applyBorder="1" applyAlignment="1">
      <alignment horizontal="center" wrapText="1"/>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44" fontId="0" fillId="0" borderId="7" xfId="0" applyNumberFormat="1" applyBorder="1" applyAlignment="1">
      <alignment horizontal="left"/>
    </xf>
    <xf numFmtId="44" fontId="0" fillId="0" borderId="19" xfId="0" applyNumberFormat="1" applyBorder="1" applyAlignment="1">
      <alignment horizontal="left"/>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44" fontId="0" fillId="0" borderId="8" xfId="0" applyNumberFormat="1" applyBorder="1" applyAlignment="1">
      <alignment horizontal="left"/>
    </xf>
    <xf numFmtId="44" fontId="0" fillId="0" borderId="17" xfId="0" applyNumberFormat="1" applyBorder="1" applyAlignment="1">
      <alignment horizontal="left"/>
    </xf>
    <xf numFmtId="44" fontId="0" fillId="0" borderId="3" xfId="0" applyNumberFormat="1" applyBorder="1" applyAlignment="1">
      <alignment horizontal="center" wrapText="1"/>
    </xf>
    <xf numFmtId="44" fontId="0" fillId="0" borderId="4" xfId="0" applyNumberFormat="1" applyBorder="1" applyAlignment="1">
      <alignment horizontal="center" wrapText="1"/>
    </xf>
    <xf numFmtId="44" fontId="0" fillId="0" borderId="30" xfId="0" applyNumberFormat="1" applyBorder="1" applyAlignment="1">
      <alignment horizontal="center" wrapText="1"/>
    </xf>
    <xf numFmtId="0" fontId="2" fillId="0" borderId="0" xfId="0" applyFont="1" applyFill="1" applyAlignment="1">
      <alignment horizontal="left" wrapText="1"/>
    </xf>
    <xf numFmtId="0" fontId="5" fillId="0" borderId="67" xfId="0" applyFont="1" applyFill="1" applyBorder="1" applyAlignment="1">
      <alignment horizontal="left" wrapText="1"/>
    </xf>
    <xf numFmtId="0" fontId="5" fillId="0" borderId="68" xfId="0" applyFont="1" applyFill="1" applyBorder="1" applyAlignment="1">
      <alignment horizontal="left" wrapText="1"/>
    </xf>
    <xf numFmtId="0" fontId="5" fillId="0" borderId="69" xfId="0" applyFont="1" applyFill="1" applyBorder="1" applyAlignment="1">
      <alignment horizontal="left" wrapText="1"/>
    </xf>
    <xf numFmtId="0" fontId="0" fillId="0" borderId="67" xfId="0" applyFill="1" applyBorder="1" applyAlignment="1">
      <alignment horizontal="left" wrapText="1"/>
    </xf>
    <xf numFmtId="0" fontId="0" fillId="0" borderId="68" xfId="0" applyFill="1" applyBorder="1" applyAlignment="1">
      <alignment horizontal="left" wrapText="1"/>
    </xf>
    <xf numFmtId="0" fontId="0" fillId="0" borderId="69" xfId="0" applyFill="1" applyBorder="1" applyAlignment="1">
      <alignment horizontal="left" wrapText="1"/>
    </xf>
    <xf numFmtId="0" fontId="0" fillId="7" borderId="67" xfId="0" applyFill="1" applyBorder="1" applyAlignment="1">
      <alignment horizontal="left" wrapText="1"/>
    </xf>
    <xf numFmtId="0" fontId="0" fillId="7" borderId="68" xfId="0" applyFill="1" applyBorder="1" applyAlignment="1">
      <alignment horizontal="left" wrapText="1"/>
    </xf>
    <xf numFmtId="0" fontId="0" fillId="7" borderId="69" xfId="0" applyFill="1" applyBorder="1" applyAlignment="1">
      <alignment horizontal="left" wrapText="1"/>
    </xf>
    <xf numFmtId="0" fontId="0" fillId="6" borderId="0" xfId="0" applyFill="1" applyAlignment="1">
      <alignment horizontal="left" wrapText="1"/>
    </xf>
    <xf numFmtId="0" fontId="0" fillId="0" borderId="64" xfId="0" applyFill="1" applyBorder="1" applyAlignment="1">
      <alignment horizontal="left" wrapText="1"/>
    </xf>
    <xf numFmtId="0" fontId="0" fillId="0" borderId="0" xfId="0" applyFill="1" applyBorder="1" applyAlignment="1">
      <alignment horizontal="left" wrapText="1"/>
    </xf>
    <xf numFmtId="0" fontId="0" fillId="0" borderId="65" xfId="0" applyFill="1" applyBorder="1" applyAlignment="1">
      <alignment horizontal="left" wrapText="1"/>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xf numFmtId="0" fontId="2" fillId="0" borderId="12"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6"/>
  <sheetViews>
    <sheetView showGridLines="0" tabSelected="1" zoomScaleNormal="100" workbookViewId="0"/>
  </sheetViews>
  <sheetFormatPr defaultColWidth="8.85546875" defaultRowHeight="15" x14ac:dyDescent="0.25"/>
  <cols>
    <col min="1" max="1" width="59.85546875" style="293" customWidth="1"/>
    <col min="2" max="2" width="14.85546875" style="293" customWidth="1"/>
    <col min="3" max="3" width="15.7109375" style="293" customWidth="1"/>
    <col min="4" max="4" width="15.85546875" style="293" bestFit="1" customWidth="1"/>
    <col min="5" max="5" width="14.85546875" style="293" customWidth="1"/>
    <col min="6" max="6" width="70.28515625" style="293" customWidth="1"/>
    <col min="7" max="7" width="12.5703125" style="293" customWidth="1"/>
    <col min="8" max="8" width="15" style="293" bestFit="1" customWidth="1"/>
    <col min="9" max="9" width="20.42578125" style="293" customWidth="1"/>
    <col min="10" max="10" width="14.85546875" style="293" customWidth="1"/>
    <col min="11" max="11" width="50.85546875" style="293" customWidth="1"/>
    <col min="12" max="12" width="19.85546875" style="293" customWidth="1"/>
    <col min="13" max="13" width="14.85546875" style="293" customWidth="1"/>
    <col min="14" max="14" width="16.140625" style="293" customWidth="1"/>
    <col min="15" max="15" width="15.140625" style="293" customWidth="1"/>
    <col min="16" max="16" width="17" style="293" customWidth="1"/>
    <col min="17" max="17" width="15.7109375" style="293" customWidth="1"/>
    <col min="18" max="22" width="14.85546875" style="293" customWidth="1"/>
    <col min="23" max="23" width="12.28515625" style="293" bestFit="1" customWidth="1"/>
    <col min="24" max="16384" width="8.85546875" style="293"/>
  </cols>
  <sheetData>
    <row r="1" spans="1:11" s="292" customFormat="1" ht="18.75" x14ac:dyDescent="0.3">
      <c r="A1" s="291" t="s">
        <v>140</v>
      </c>
      <c r="F1" s="291" t="s">
        <v>141</v>
      </c>
      <c r="K1" s="291" t="s">
        <v>208</v>
      </c>
    </row>
    <row r="3" spans="1:11" x14ac:dyDescent="0.25">
      <c r="A3" s="292" t="s">
        <v>25</v>
      </c>
      <c r="F3" s="292" t="s">
        <v>116</v>
      </c>
    </row>
    <row r="4" spans="1:11" ht="30" x14ac:dyDescent="0.25">
      <c r="A4" s="292"/>
      <c r="B4" s="294" t="s">
        <v>108</v>
      </c>
      <c r="C4" s="295" t="s">
        <v>100</v>
      </c>
      <c r="D4" s="295" t="s">
        <v>101</v>
      </c>
      <c r="F4" s="292"/>
      <c r="G4" s="294" t="s">
        <v>108</v>
      </c>
      <c r="H4" s="295" t="s">
        <v>100</v>
      </c>
      <c r="I4" s="295" t="s">
        <v>101</v>
      </c>
    </row>
    <row r="5" spans="1:11" ht="17.25" x14ac:dyDescent="0.25">
      <c r="A5" s="296" t="s">
        <v>230</v>
      </c>
      <c r="C5" s="297">
        <v>527000000</v>
      </c>
      <c r="D5" s="298">
        <f>C5</f>
        <v>527000000</v>
      </c>
      <c r="F5" s="296" t="s">
        <v>245</v>
      </c>
      <c r="H5" s="297">
        <v>527250000</v>
      </c>
      <c r="I5" s="298">
        <f>+H5</f>
        <v>527250000</v>
      </c>
    </row>
    <row r="6" spans="1:11" ht="17.25" x14ac:dyDescent="0.25">
      <c r="A6" s="296" t="s">
        <v>231</v>
      </c>
      <c r="C6" s="297">
        <v>8000000</v>
      </c>
      <c r="D6" s="298">
        <f>+C6</f>
        <v>8000000</v>
      </c>
      <c r="F6" s="296" t="s">
        <v>244</v>
      </c>
      <c r="H6" s="297">
        <v>8000000</v>
      </c>
      <c r="I6" s="298">
        <f>+H6</f>
        <v>8000000</v>
      </c>
    </row>
    <row r="7" spans="1:11" x14ac:dyDescent="0.25">
      <c r="A7" s="296" t="s">
        <v>103</v>
      </c>
      <c r="C7" s="297">
        <v>-35000000</v>
      </c>
      <c r="D7" s="298"/>
      <c r="F7" s="296" t="s">
        <v>246</v>
      </c>
      <c r="H7" s="297">
        <v>-35000000</v>
      </c>
      <c r="I7" s="298"/>
    </row>
    <row r="8" spans="1:11" x14ac:dyDescent="0.25">
      <c r="A8" s="296"/>
      <c r="C8" s="299">
        <f>+C5+C6+C7</f>
        <v>500000000</v>
      </c>
      <c r="D8" s="299">
        <f>+D5+D6+D7</f>
        <v>535000000</v>
      </c>
      <c r="F8" s="296"/>
      <c r="H8" s="299">
        <f>+H5+H6+H7</f>
        <v>500250000</v>
      </c>
      <c r="I8" s="299">
        <f>+I5+I6+I7</f>
        <v>535250000</v>
      </c>
    </row>
    <row r="9" spans="1:11" x14ac:dyDescent="0.25">
      <c r="A9" s="296"/>
      <c r="F9" s="296"/>
    </row>
    <row r="10" spans="1:11" x14ac:dyDescent="0.25">
      <c r="A10" s="293" t="s">
        <v>35</v>
      </c>
      <c r="B10" s="300">
        <f>+B27</f>
        <v>0.45</v>
      </c>
      <c r="C10" s="301">
        <f>+C8*B10</f>
        <v>225000000</v>
      </c>
      <c r="D10" s="302">
        <f>C10</f>
        <v>225000000</v>
      </c>
      <c r="F10" s="293" t="s">
        <v>35</v>
      </c>
      <c r="G10" s="303">
        <f>+G27</f>
        <v>0.45</v>
      </c>
      <c r="H10" s="301">
        <f>+H8*G10</f>
        <v>225112500</v>
      </c>
      <c r="I10" s="302">
        <f>H10</f>
        <v>225112500</v>
      </c>
      <c r="J10" s="304"/>
      <c r="K10" s="305"/>
    </row>
    <row r="11" spans="1:11" x14ac:dyDescent="0.25">
      <c r="A11" s="293" t="s">
        <v>36</v>
      </c>
      <c r="B11" s="300">
        <f>+B28</f>
        <v>0.55000000000000004</v>
      </c>
      <c r="C11" s="301">
        <f>+C8*B11</f>
        <v>275000000</v>
      </c>
      <c r="D11" s="302">
        <f>C11-C7</f>
        <v>310000000</v>
      </c>
      <c r="F11" s="293" t="s">
        <v>36</v>
      </c>
      <c r="G11" s="303">
        <f>+G28</f>
        <v>0.55000000000000004</v>
      </c>
      <c r="H11" s="301">
        <f>+H8*G11</f>
        <v>275137500</v>
      </c>
      <c r="I11" s="302">
        <f>H11-H7</f>
        <v>310137500</v>
      </c>
      <c r="J11" s="304"/>
    </row>
    <row r="12" spans="1:11" ht="15.75" thickBot="1" x14ac:dyDescent="0.3">
      <c r="A12" s="293" t="s">
        <v>16</v>
      </c>
      <c r="B12" s="306">
        <f>+B10+B11</f>
        <v>1</v>
      </c>
      <c r="C12" s="307">
        <f>+C10+C11</f>
        <v>500000000</v>
      </c>
      <c r="D12" s="307">
        <f>+D10+D11</f>
        <v>535000000</v>
      </c>
      <c r="F12" s="293" t="s">
        <v>16</v>
      </c>
      <c r="G12" s="306">
        <f>+G10+G11</f>
        <v>1</v>
      </c>
      <c r="H12" s="307">
        <f>+H10+H11</f>
        <v>500250000</v>
      </c>
      <c r="I12" s="307">
        <f>+I10+I11</f>
        <v>535250000</v>
      </c>
    </row>
    <row r="13" spans="1:11" ht="15.75" thickTop="1" x14ac:dyDescent="0.25"/>
    <row r="14" spans="1:11" x14ac:dyDescent="0.25">
      <c r="A14" s="308" t="s">
        <v>256</v>
      </c>
      <c r="F14" s="309" t="s">
        <v>257</v>
      </c>
    </row>
    <row r="15" spans="1:11" x14ac:dyDescent="0.25">
      <c r="A15" s="310"/>
      <c r="B15" s="295" t="s">
        <v>11</v>
      </c>
      <c r="C15" s="295" t="s">
        <v>17</v>
      </c>
      <c r="D15" s="311"/>
      <c r="F15" s="310"/>
      <c r="G15" s="421" t="s">
        <v>11</v>
      </c>
      <c r="H15" s="295" t="s">
        <v>17</v>
      </c>
    </row>
    <row r="16" spans="1:11" x14ac:dyDescent="0.25">
      <c r="A16" s="293" t="s">
        <v>2</v>
      </c>
      <c r="B16" s="303">
        <f>B33</f>
        <v>2.2222222222222223E-2</v>
      </c>
      <c r="C16" s="372">
        <f>+B16*$C$10</f>
        <v>5000000</v>
      </c>
      <c r="D16" s="312"/>
      <c r="F16" s="293" t="s">
        <v>2</v>
      </c>
      <c r="G16" s="303">
        <f>G33</f>
        <v>2.2222222222222223E-2</v>
      </c>
      <c r="H16" s="372">
        <f>+G16*$H$10</f>
        <v>5002500</v>
      </c>
    </row>
    <row r="17" spans="1:14" x14ac:dyDescent="0.25">
      <c r="A17" s="293" t="s">
        <v>3</v>
      </c>
      <c r="B17" s="303">
        <f t="shared" ref="B17:B20" si="0">B34</f>
        <v>3.111111111111111E-2</v>
      </c>
      <c r="C17" s="372">
        <f t="shared" ref="C17:C20" si="1">+B17*$C$10</f>
        <v>7000000</v>
      </c>
      <c r="D17" s="312"/>
      <c r="F17" s="293" t="s">
        <v>3</v>
      </c>
      <c r="G17" s="303">
        <f t="shared" ref="G17:G20" si="2">G34</f>
        <v>3.111111111111111E-2</v>
      </c>
      <c r="H17" s="372">
        <f t="shared" ref="H17:H20" si="3">+G17*$H$10</f>
        <v>7003500</v>
      </c>
    </row>
    <row r="18" spans="1:14" x14ac:dyDescent="0.25">
      <c r="A18" s="293" t="s">
        <v>4</v>
      </c>
      <c r="B18" s="303">
        <f t="shared" si="0"/>
        <v>0.44444444444444442</v>
      </c>
      <c r="C18" s="372">
        <f t="shared" si="1"/>
        <v>100000000</v>
      </c>
      <c r="D18" s="312"/>
      <c r="F18" s="293" t="s">
        <v>4</v>
      </c>
      <c r="G18" s="303">
        <f t="shared" si="2"/>
        <v>0.44444444444444442</v>
      </c>
      <c r="H18" s="372">
        <f t="shared" si="3"/>
        <v>100050000</v>
      </c>
    </row>
    <row r="19" spans="1:14" x14ac:dyDescent="0.25">
      <c r="A19" s="293" t="s">
        <v>6</v>
      </c>
      <c r="B19" s="303">
        <f t="shared" si="0"/>
        <v>0.22222222222222221</v>
      </c>
      <c r="C19" s="372">
        <f t="shared" si="1"/>
        <v>50000000</v>
      </c>
      <c r="D19" s="312"/>
      <c r="F19" s="293" t="s">
        <v>6</v>
      </c>
      <c r="G19" s="303">
        <f t="shared" si="2"/>
        <v>0.22222222222222221</v>
      </c>
      <c r="H19" s="372">
        <f t="shared" si="3"/>
        <v>50025000</v>
      </c>
    </row>
    <row r="20" spans="1:14" x14ac:dyDescent="0.25">
      <c r="A20" s="293" t="s">
        <v>5</v>
      </c>
      <c r="B20" s="303">
        <f t="shared" si="0"/>
        <v>0.28000000000000003</v>
      </c>
      <c r="C20" s="372">
        <f t="shared" si="1"/>
        <v>63000000.000000007</v>
      </c>
      <c r="D20" s="312"/>
      <c r="F20" s="293" t="s">
        <v>5</v>
      </c>
      <c r="G20" s="303">
        <f t="shared" si="2"/>
        <v>0.28000000000000003</v>
      </c>
      <c r="H20" s="372">
        <f t="shared" si="3"/>
        <v>63031500.000000007</v>
      </c>
    </row>
    <row r="21" spans="1:14" ht="15.75" thickBot="1" x14ac:dyDescent="0.3">
      <c r="B21" s="306">
        <f>SUM(B16:B20)</f>
        <v>1</v>
      </c>
      <c r="C21" s="307">
        <f>SUM(C16:C20)</f>
        <v>225000000</v>
      </c>
      <c r="G21" s="306">
        <f>SUM(G16:G20)</f>
        <v>1</v>
      </c>
      <c r="H21" s="307">
        <f>SUM(H16:H20)</f>
        <v>225112500</v>
      </c>
    </row>
    <row r="22" spans="1:14" ht="15.75" thickTop="1" x14ac:dyDescent="0.25"/>
    <row r="23" spans="1:14" ht="15.75" x14ac:dyDescent="0.25">
      <c r="A23" s="310" t="s">
        <v>232</v>
      </c>
      <c r="F23" s="310" t="s">
        <v>117</v>
      </c>
      <c r="K23" s="310" t="s">
        <v>209</v>
      </c>
    </row>
    <row r="24" spans="1:14" ht="30" x14ac:dyDescent="0.25">
      <c r="A24" s="310"/>
      <c r="B24" s="294" t="s">
        <v>102</v>
      </c>
      <c r="C24" s="295" t="s">
        <v>100</v>
      </c>
      <c r="D24" s="295" t="s">
        <v>101</v>
      </c>
      <c r="F24" s="310"/>
      <c r="G24" s="294" t="s">
        <v>102</v>
      </c>
      <c r="H24" s="295" t="s">
        <v>100</v>
      </c>
      <c r="I24" s="295" t="s">
        <v>101</v>
      </c>
      <c r="K24" s="310"/>
      <c r="L24" s="294" t="s">
        <v>102</v>
      </c>
      <c r="M24" s="295" t="s">
        <v>100</v>
      </c>
      <c r="N24" s="295" t="s">
        <v>101</v>
      </c>
    </row>
    <row r="25" spans="1:14" x14ac:dyDescent="0.25">
      <c r="A25" s="296" t="s">
        <v>109</v>
      </c>
      <c r="C25" s="301">
        <f>+C29</f>
        <v>500000000</v>
      </c>
      <c r="D25" s="301">
        <f t="shared" ref="D25" si="4">+D8</f>
        <v>535000000</v>
      </c>
      <c r="F25" s="296" t="s">
        <v>109</v>
      </c>
      <c r="H25" s="298">
        <f>+H29</f>
        <v>500000000</v>
      </c>
      <c r="I25" s="302">
        <f>+I29</f>
        <v>535000000</v>
      </c>
      <c r="K25" s="296" t="s">
        <v>109</v>
      </c>
      <c r="M25" s="298">
        <f>+M29</f>
        <v>500000000</v>
      </c>
      <c r="N25" s="302">
        <f>+N29</f>
        <v>535000000</v>
      </c>
    </row>
    <row r="26" spans="1:14" x14ac:dyDescent="0.25">
      <c r="A26" s="296"/>
      <c r="F26" s="296"/>
      <c r="K26" s="296"/>
    </row>
    <row r="27" spans="1:14" x14ac:dyDescent="0.25">
      <c r="A27" s="293" t="s">
        <v>14</v>
      </c>
      <c r="B27" s="300">
        <f>+C27/C29</f>
        <v>0.45</v>
      </c>
      <c r="C27" s="297">
        <v>225000000</v>
      </c>
      <c r="D27" s="298">
        <f>+C27</f>
        <v>225000000</v>
      </c>
      <c r="F27" s="293" t="s">
        <v>69</v>
      </c>
      <c r="G27" s="303">
        <f>+H27/H29</f>
        <v>0.45</v>
      </c>
      <c r="H27" s="298">
        <f>+C27</f>
        <v>225000000</v>
      </c>
      <c r="I27" s="298">
        <f>+D27</f>
        <v>225000000</v>
      </c>
      <c r="K27" s="293" t="s">
        <v>69</v>
      </c>
      <c r="L27" s="303">
        <f>+M27/M29</f>
        <v>0.45</v>
      </c>
      <c r="M27" s="298">
        <f>+H27</f>
        <v>225000000</v>
      </c>
      <c r="N27" s="298">
        <f>+I27</f>
        <v>225000000</v>
      </c>
    </row>
    <row r="28" spans="1:14" x14ac:dyDescent="0.25">
      <c r="A28" s="293" t="s">
        <v>15</v>
      </c>
      <c r="B28" s="300">
        <f>+C28/C29</f>
        <v>0.55000000000000004</v>
      </c>
      <c r="C28" s="297">
        <v>275000000</v>
      </c>
      <c r="D28" s="298">
        <f>+C28-C7</f>
        <v>310000000</v>
      </c>
      <c r="F28" s="293" t="s">
        <v>70</v>
      </c>
      <c r="G28" s="303">
        <f>+H28/H29</f>
        <v>0.55000000000000004</v>
      </c>
      <c r="H28" s="298">
        <f>+C28</f>
        <v>275000000</v>
      </c>
      <c r="I28" s="298">
        <f>+D28</f>
        <v>310000000</v>
      </c>
      <c r="K28" s="293" t="s">
        <v>70</v>
      </c>
      <c r="L28" s="303">
        <f>+M28/M29</f>
        <v>0.55000000000000004</v>
      </c>
      <c r="M28" s="298">
        <f>+H28</f>
        <v>275000000</v>
      </c>
      <c r="N28" s="298">
        <f>+I28</f>
        <v>310000000</v>
      </c>
    </row>
    <row r="29" spans="1:14" ht="15.75" thickBot="1" x14ac:dyDescent="0.3">
      <c r="A29" s="293" t="s">
        <v>56</v>
      </c>
      <c r="B29" s="306">
        <f>+B27+B28</f>
        <v>1</v>
      </c>
      <c r="C29" s="307">
        <f>+C27+C28</f>
        <v>500000000</v>
      </c>
      <c r="D29" s="307">
        <f>+D27+D28</f>
        <v>535000000</v>
      </c>
      <c r="F29" s="293" t="s">
        <v>56</v>
      </c>
      <c r="G29" s="306">
        <f>+G27+G28</f>
        <v>1</v>
      </c>
      <c r="H29" s="307">
        <f>+H27+H28</f>
        <v>500000000</v>
      </c>
      <c r="I29" s="307">
        <f>+I27+I28</f>
        <v>535000000</v>
      </c>
      <c r="K29" s="293" t="s">
        <v>56</v>
      </c>
      <c r="L29" s="306">
        <f>+L27+L28</f>
        <v>1</v>
      </c>
      <c r="M29" s="307">
        <f>+M27+M28</f>
        <v>500000000</v>
      </c>
      <c r="N29" s="307">
        <f>+N27+N28</f>
        <v>535000000</v>
      </c>
    </row>
    <row r="30" spans="1:14" ht="15.75" thickTop="1" x14ac:dyDescent="0.25"/>
    <row r="31" spans="1:14" x14ac:dyDescent="0.25">
      <c r="A31" s="310" t="s">
        <v>112</v>
      </c>
      <c r="F31" s="310" t="s">
        <v>118</v>
      </c>
      <c r="K31" s="310" t="s">
        <v>210</v>
      </c>
    </row>
    <row r="32" spans="1:14" x14ac:dyDescent="0.25">
      <c r="A32" s="310"/>
      <c r="B32" s="295" t="s">
        <v>11</v>
      </c>
      <c r="C32" s="295" t="s">
        <v>17</v>
      </c>
      <c r="D32" s="294" t="s">
        <v>365</v>
      </c>
      <c r="F32" s="310"/>
      <c r="G32" s="295" t="s">
        <v>12</v>
      </c>
      <c r="H32" s="295" t="s">
        <v>17</v>
      </c>
      <c r="I32" s="294" t="s">
        <v>365</v>
      </c>
      <c r="J32" s="313"/>
      <c r="K32" s="310"/>
      <c r="L32" s="295" t="s">
        <v>12</v>
      </c>
      <c r="M32" s="295" t="s">
        <v>17</v>
      </c>
      <c r="N32" s="294" t="s">
        <v>20</v>
      </c>
    </row>
    <row r="33" spans="1:15" x14ac:dyDescent="0.25">
      <c r="A33" s="293" t="s">
        <v>2</v>
      </c>
      <c r="B33" s="314">
        <v>2.2222222222222223E-2</v>
      </c>
      <c r="C33" s="372">
        <f>+B33*$C$27</f>
        <v>5000000</v>
      </c>
      <c r="D33" s="315">
        <v>7.6999999999999999E-2</v>
      </c>
      <c r="E33" s="301"/>
      <c r="F33" s="293" t="s">
        <v>2</v>
      </c>
      <c r="G33" s="303">
        <f>+B33</f>
        <v>2.2222222222222223E-2</v>
      </c>
      <c r="H33" s="372">
        <f>+G33*$H$27</f>
        <v>5000000</v>
      </c>
      <c r="I33" s="316">
        <f>+D33</f>
        <v>7.6999999999999999E-2</v>
      </c>
      <c r="J33" s="316"/>
      <c r="K33" s="293" t="s">
        <v>2</v>
      </c>
      <c r="L33" s="303">
        <f>+G33</f>
        <v>2.2222222222222223E-2</v>
      </c>
      <c r="M33" s="301">
        <f>+L33*$H$27</f>
        <v>5000000</v>
      </c>
      <c r="N33" s="316">
        <f>+I33</f>
        <v>7.6999999999999999E-2</v>
      </c>
    </row>
    <row r="34" spans="1:15" x14ac:dyDescent="0.25">
      <c r="A34" s="293" t="s">
        <v>3</v>
      </c>
      <c r="B34" s="314">
        <v>3.111111111111111E-2</v>
      </c>
      <c r="C34" s="372">
        <f t="shared" ref="C34:C37" si="5">+B34*$C$27</f>
        <v>7000000</v>
      </c>
      <c r="D34" s="315">
        <v>8.8999999999999996E-2</v>
      </c>
      <c r="E34" s="301"/>
      <c r="F34" s="293" t="s">
        <v>3</v>
      </c>
      <c r="G34" s="303">
        <f t="shared" ref="G34:G37" si="6">+B34</f>
        <v>3.111111111111111E-2</v>
      </c>
      <c r="H34" s="372">
        <f t="shared" ref="H34:H37" si="7">+G34*$H$27</f>
        <v>7000000</v>
      </c>
      <c r="I34" s="316">
        <f>+D34</f>
        <v>8.8999999999999996E-2</v>
      </c>
      <c r="J34" s="316"/>
      <c r="K34" s="293" t="s">
        <v>3</v>
      </c>
      <c r="L34" s="303">
        <f t="shared" ref="L34:L37" si="8">+G34</f>
        <v>3.111111111111111E-2</v>
      </c>
      <c r="M34" s="301">
        <f t="shared" ref="M34:M37" si="9">+L34*$H$27</f>
        <v>7000000</v>
      </c>
      <c r="N34" s="316">
        <f>+I34</f>
        <v>8.8999999999999996E-2</v>
      </c>
    </row>
    <row r="35" spans="1:15" x14ac:dyDescent="0.25">
      <c r="A35" s="293" t="s">
        <v>4</v>
      </c>
      <c r="B35" s="314">
        <v>0.44444444444444442</v>
      </c>
      <c r="C35" s="372">
        <f t="shared" si="5"/>
        <v>100000000</v>
      </c>
      <c r="D35" s="315">
        <v>6.5000000000000002E-2</v>
      </c>
      <c r="E35" s="301"/>
      <c r="F35" s="293" t="s">
        <v>4</v>
      </c>
      <c r="G35" s="303">
        <f t="shared" si="6"/>
        <v>0.44444444444444442</v>
      </c>
      <c r="H35" s="372">
        <f t="shared" si="7"/>
        <v>100000000</v>
      </c>
      <c r="I35" s="316">
        <f>+D35</f>
        <v>6.5000000000000002E-2</v>
      </c>
      <c r="J35" s="316"/>
      <c r="K35" s="293" t="s">
        <v>4</v>
      </c>
      <c r="L35" s="303">
        <f t="shared" si="8"/>
        <v>0.44444444444444442</v>
      </c>
      <c r="M35" s="301">
        <f t="shared" si="9"/>
        <v>100000000</v>
      </c>
      <c r="N35" s="316">
        <f>+I35</f>
        <v>6.5000000000000002E-2</v>
      </c>
    </row>
    <row r="36" spans="1:15" x14ac:dyDescent="0.25">
      <c r="A36" s="293" t="s">
        <v>6</v>
      </c>
      <c r="B36" s="314">
        <v>0.22222222222222221</v>
      </c>
      <c r="C36" s="372">
        <f t="shared" si="5"/>
        <v>50000000</v>
      </c>
      <c r="D36" s="315">
        <v>9.4E-2</v>
      </c>
      <c r="E36" s="301"/>
      <c r="F36" s="293" t="s">
        <v>6</v>
      </c>
      <c r="G36" s="303">
        <f t="shared" si="6"/>
        <v>0.22222222222222221</v>
      </c>
      <c r="H36" s="372">
        <f t="shared" si="7"/>
        <v>50000000</v>
      </c>
      <c r="I36" s="316">
        <f>+D36</f>
        <v>9.4E-2</v>
      </c>
      <c r="J36" s="316"/>
      <c r="K36" s="293" t="s">
        <v>6</v>
      </c>
      <c r="L36" s="303">
        <f t="shared" si="8"/>
        <v>0.22222222222222221</v>
      </c>
      <c r="M36" s="301">
        <f t="shared" si="9"/>
        <v>50000000</v>
      </c>
      <c r="N36" s="316">
        <f>+I36</f>
        <v>9.4E-2</v>
      </c>
    </row>
    <row r="37" spans="1:15" x14ac:dyDescent="0.25">
      <c r="A37" s="293" t="s">
        <v>5</v>
      </c>
      <c r="B37" s="314">
        <v>0.28000000000000003</v>
      </c>
      <c r="C37" s="372">
        <f t="shared" si="5"/>
        <v>63000000.000000007</v>
      </c>
      <c r="D37" s="315">
        <v>0.13200000000000001</v>
      </c>
      <c r="E37" s="301"/>
      <c r="F37" s="293" t="s">
        <v>5</v>
      </c>
      <c r="G37" s="303">
        <f t="shared" si="6"/>
        <v>0.28000000000000003</v>
      </c>
      <c r="H37" s="372">
        <f t="shared" si="7"/>
        <v>63000000.000000007</v>
      </c>
      <c r="I37" s="316">
        <f>+D37</f>
        <v>0.13200000000000001</v>
      </c>
      <c r="J37" s="316"/>
      <c r="K37" s="293" t="s">
        <v>5</v>
      </c>
      <c r="L37" s="303">
        <f t="shared" si="8"/>
        <v>0.28000000000000003</v>
      </c>
      <c r="M37" s="301">
        <f t="shared" si="9"/>
        <v>63000000.000000007</v>
      </c>
      <c r="N37" s="316">
        <f>+I37</f>
        <v>0.13200000000000001</v>
      </c>
    </row>
    <row r="38" spans="1:15" ht="15.75" thickBot="1" x14ac:dyDescent="0.3">
      <c r="B38" s="306">
        <f>SUM(B33:B37)</f>
        <v>1</v>
      </c>
      <c r="C38" s="307">
        <f>SUM(C33:C37)</f>
        <v>225000000</v>
      </c>
      <c r="D38" s="317"/>
      <c r="E38" s="302"/>
      <c r="G38" s="306">
        <f>SUM(G33:G37)</f>
        <v>1</v>
      </c>
      <c r="H38" s="307">
        <f>SUM(H33:H37)</f>
        <v>225000000</v>
      </c>
      <c r="L38" s="306">
        <f>SUM(L33:L37)</f>
        <v>1</v>
      </c>
      <c r="M38" s="307">
        <f>SUM(M33:M37)</f>
        <v>225000000</v>
      </c>
    </row>
    <row r="39" spans="1:15" ht="15.75" thickTop="1" x14ac:dyDescent="0.25"/>
    <row r="40" spans="1:15" x14ac:dyDescent="0.25">
      <c r="A40" s="310" t="s">
        <v>113</v>
      </c>
      <c r="F40" s="310" t="s">
        <v>119</v>
      </c>
      <c r="K40" s="309"/>
      <c r="L40" s="305"/>
      <c r="M40" s="305"/>
      <c r="N40" s="305"/>
      <c r="O40" s="305"/>
    </row>
    <row r="41" spans="1:15" x14ac:dyDescent="0.25">
      <c r="A41" s="292"/>
      <c r="B41" s="295" t="s">
        <v>57</v>
      </c>
      <c r="D41" s="295"/>
      <c r="F41" s="292"/>
      <c r="G41" s="295" t="s">
        <v>57</v>
      </c>
      <c r="K41" s="318"/>
      <c r="L41" s="319"/>
      <c r="M41" s="305"/>
      <c r="N41" s="305"/>
      <c r="O41" s="305"/>
    </row>
    <row r="42" spans="1:15" x14ac:dyDescent="0.25">
      <c r="A42" s="292" t="s">
        <v>111</v>
      </c>
      <c r="B42" s="295" t="s">
        <v>13</v>
      </c>
      <c r="D42" s="295"/>
      <c r="F42" s="292" t="s">
        <v>111</v>
      </c>
      <c r="G42" s="295" t="s">
        <v>13</v>
      </c>
      <c r="K42" s="318"/>
      <c r="L42" s="319"/>
      <c r="M42" s="305"/>
      <c r="N42" s="305"/>
      <c r="O42" s="305"/>
    </row>
    <row r="43" spans="1:15" x14ac:dyDescent="0.25">
      <c r="A43" s="293" t="s">
        <v>73</v>
      </c>
      <c r="B43" s="320">
        <f>+B84</f>
        <v>3.15E-2</v>
      </c>
      <c r="D43" s="320"/>
      <c r="E43" s="321"/>
      <c r="F43" s="293" t="s">
        <v>73</v>
      </c>
      <c r="G43" s="320">
        <f>+G84</f>
        <v>3.1848807346377295E-2</v>
      </c>
      <c r="I43" s="322"/>
      <c r="K43" s="305"/>
      <c r="L43" s="320"/>
      <c r="M43" s="305"/>
      <c r="N43" s="323"/>
      <c r="O43" s="305"/>
    </row>
    <row r="44" spans="1:15" ht="17.25" x14ac:dyDescent="0.25">
      <c r="A44" s="293" t="s">
        <v>74</v>
      </c>
      <c r="B44" s="320">
        <f>+B85</f>
        <v>2.7681818181818182E-2</v>
      </c>
      <c r="D44" s="320"/>
      <c r="F44" s="293" t="s">
        <v>240</v>
      </c>
      <c r="G44" s="320">
        <f>+G85</f>
        <v>2.7681818181818182E-2</v>
      </c>
      <c r="I44" s="324"/>
      <c r="K44" s="305"/>
      <c r="L44" s="320"/>
      <c r="M44" s="305"/>
      <c r="N44" s="325"/>
      <c r="O44" s="305"/>
    </row>
    <row r="45" spans="1:15" x14ac:dyDescent="0.25">
      <c r="A45" s="293" t="s">
        <v>22</v>
      </c>
      <c r="B45" s="326">
        <v>0.10589999999999999</v>
      </c>
      <c r="D45" s="327"/>
      <c r="F45" s="293" t="s">
        <v>22</v>
      </c>
      <c r="G45" s="328">
        <f>+B45</f>
        <v>0.10589999999999999</v>
      </c>
      <c r="I45" s="301"/>
      <c r="K45" s="305"/>
      <c r="L45" s="327"/>
      <c r="M45" s="305"/>
      <c r="N45" s="298"/>
      <c r="O45" s="305"/>
    </row>
    <row r="46" spans="1:15" x14ac:dyDescent="0.25">
      <c r="A46" s="293" t="s">
        <v>23</v>
      </c>
      <c r="B46" s="326">
        <v>7.8700000000000006E-2</v>
      </c>
      <c r="D46" s="327"/>
      <c r="F46" s="293" t="s">
        <v>23</v>
      </c>
      <c r="G46" s="328">
        <f>+B46</f>
        <v>7.8700000000000006E-2</v>
      </c>
      <c r="J46" s="329"/>
      <c r="K46" s="305"/>
      <c r="L46" s="327"/>
      <c r="M46" s="305"/>
      <c r="N46" s="305"/>
      <c r="O46" s="305"/>
    </row>
    <row r="47" spans="1:15" ht="17.25" x14ac:dyDescent="0.25">
      <c r="F47" s="293" t="s">
        <v>241</v>
      </c>
      <c r="G47" s="326">
        <v>8.7099999999999997E-2</v>
      </c>
      <c r="H47" s="305"/>
      <c r="I47" s="305" t="s">
        <v>75</v>
      </c>
      <c r="K47" s="305"/>
      <c r="L47" s="327"/>
      <c r="M47" s="305"/>
      <c r="N47" s="305"/>
      <c r="O47" s="305"/>
    </row>
    <row r="48" spans="1:15" ht="17.25" x14ac:dyDescent="0.25">
      <c r="C48" s="302"/>
      <c r="D48" s="301"/>
      <c r="F48" s="293" t="s">
        <v>242</v>
      </c>
      <c r="G48" s="330">
        <f>+H48/H12</f>
        <v>8.8359370314842575E-2</v>
      </c>
      <c r="H48" s="331">
        <v>44201775</v>
      </c>
      <c r="I48" s="293" t="s">
        <v>87</v>
      </c>
      <c r="K48" s="305"/>
      <c r="L48" s="330"/>
      <c r="M48" s="332"/>
      <c r="N48" s="305"/>
      <c r="O48" s="305"/>
    </row>
    <row r="49" spans="1:13" x14ac:dyDescent="0.25">
      <c r="B49" s="329"/>
      <c r="C49" s="324"/>
      <c r="D49" s="301"/>
      <c r="J49" s="333"/>
      <c r="K49" s="324"/>
    </row>
    <row r="50" spans="1:13" ht="18.75" x14ac:dyDescent="0.3">
      <c r="A50" s="291" t="s">
        <v>24</v>
      </c>
      <c r="B50" s="329"/>
      <c r="C50" s="334"/>
      <c r="D50" s="301"/>
      <c r="E50" s="321"/>
      <c r="F50" s="291" t="s">
        <v>26</v>
      </c>
      <c r="G50" s="329"/>
      <c r="H50" s="335"/>
    </row>
    <row r="51" spans="1:13" x14ac:dyDescent="0.25">
      <c r="A51" s="301"/>
      <c r="B51" s="328"/>
      <c r="C51" s="333"/>
      <c r="D51" s="328"/>
      <c r="E51" s="321"/>
      <c r="F51" s="301"/>
      <c r="G51" s="328"/>
      <c r="H51" s="335"/>
      <c r="I51" s="336"/>
    </row>
    <row r="52" spans="1:13" x14ac:dyDescent="0.25">
      <c r="A52" s="310" t="s">
        <v>114</v>
      </c>
      <c r="F52" s="310" t="s">
        <v>120</v>
      </c>
      <c r="I52" s="337"/>
    </row>
    <row r="53" spans="1:13" x14ac:dyDescent="0.25">
      <c r="A53" s="310"/>
      <c r="B53" s="294" t="s">
        <v>39</v>
      </c>
      <c r="C53" s="338" t="s">
        <v>17</v>
      </c>
      <c r="D53" s="339" t="s">
        <v>40</v>
      </c>
      <c r="F53" s="310"/>
      <c r="G53" s="295" t="s">
        <v>39</v>
      </c>
      <c r="H53" s="340" t="s">
        <v>17</v>
      </c>
      <c r="I53" s="339" t="s">
        <v>40</v>
      </c>
      <c r="J53" s="292"/>
    </row>
    <row r="54" spans="1:13" ht="17.25" x14ac:dyDescent="0.25">
      <c r="A54" s="293" t="s">
        <v>237</v>
      </c>
      <c r="B54" s="327">
        <f>+D54/C54</f>
        <v>0.65</v>
      </c>
      <c r="C54" s="301">
        <f>+D6</f>
        <v>8000000</v>
      </c>
      <c r="D54" s="341">
        <v>5200000</v>
      </c>
      <c r="F54" s="293" t="s">
        <v>235</v>
      </c>
      <c r="G54" s="327">
        <f>+I54/H54</f>
        <v>0.65</v>
      </c>
      <c r="H54" s="301">
        <f>+I6</f>
        <v>8000000</v>
      </c>
      <c r="I54" s="341">
        <v>5200000</v>
      </c>
      <c r="J54" s="386"/>
      <c r="K54" s="321"/>
    </row>
    <row r="55" spans="1:13" x14ac:dyDescent="0.25">
      <c r="A55" s="293" t="s">
        <v>72</v>
      </c>
      <c r="B55" s="328">
        <f>+D55/C55</f>
        <v>2.9287595581988048E-2</v>
      </c>
      <c r="C55" s="301">
        <f>+D5</f>
        <v>527000000</v>
      </c>
      <c r="D55" s="342">
        <v>15434562.8717077</v>
      </c>
      <c r="F55" s="293" t="s">
        <v>72</v>
      </c>
      <c r="G55" s="328">
        <f>+I55/H55</f>
        <v>2.9436574235123938E-2</v>
      </c>
      <c r="H55" s="301">
        <f>+I5</f>
        <v>527250000</v>
      </c>
      <c r="I55" s="343">
        <v>15520433.765469097</v>
      </c>
      <c r="J55" s="386"/>
      <c r="K55" s="385"/>
      <c r="L55" s="344"/>
      <c r="M55" s="344"/>
    </row>
    <row r="56" spans="1:13" ht="17.25" x14ac:dyDescent="0.25">
      <c r="A56" s="293" t="s">
        <v>238</v>
      </c>
      <c r="B56" s="328"/>
      <c r="C56" s="301"/>
      <c r="D56" s="343">
        <v>1850000</v>
      </c>
      <c r="F56" s="293" t="s">
        <v>243</v>
      </c>
      <c r="G56" s="328"/>
      <c r="H56" s="301"/>
      <c r="I56" s="343">
        <v>1980000</v>
      </c>
      <c r="J56" s="386"/>
      <c r="K56" s="344"/>
      <c r="L56" s="344"/>
      <c r="M56" s="344"/>
    </row>
    <row r="57" spans="1:13" x14ac:dyDescent="0.25">
      <c r="A57" s="293" t="s">
        <v>42</v>
      </c>
      <c r="B57" s="329">
        <f>+B46</f>
        <v>7.8700000000000006E-2</v>
      </c>
      <c r="C57" s="302">
        <f>+C10</f>
        <v>225000000</v>
      </c>
      <c r="D57" s="344">
        <f>+C57*B57</f>
        <v>17707500</v>
      </c>
      <c r="F57" s="293" t="s">
        <v>42</v>
      </c>
      <c r="G57" s="320">
        <f>+G48</f>
        <v>8.8359370314842575E-2</v>
      </c>
      <c r="H57" s="302">
        <f>+H10</f>
        <v>225112500</v>
      </c>
      <c r="I57" s="344">
        <f>+H57*G57</f>
        <v>19890798.75</v>
      </c>
      <c r="J57" s="386"/>
      <c r="K57" s="344"/>
      <c r="L57" s="344"/>
      <c r="M57" s="344"/>
    </row>
    <row r="58" spans="1:13" x14ac:dyDescent="0.25">
      <c r="A58" s="293" t="s">
        <v>104</v>
      </c>
      <c r="B58" s="329">
        <f>+B46</f>
        <v>7.8700000000000006E-2</v>
      </c>
      <c r="C58" s="302">
        <f>+C11</f>
        <v>275000000</v>
      </c>
      <c r="D58" s="344">
        <f>+C58*B58</f>
        <v>21642500</v>
      </c>
      <c r="F58" s="293" t="s">
        <v>41</v>
      </c>
      <c r="G58" s="320">
        <f>+G48</f>
        <v>8.8359370314842575E-2</v>
      </c>
      <c r="H58" s="302">
        <f>+H11</f>
        <v>275137500</v>
      </c>
      <c r="I58" s="344">
        <f>+H58*G58</f>
        <v>24310976.25</v>
      </c>
      <c r="J58" s="386"/>
      <c r="K58" s="344"/>
      <c r="L58" s="344"/>
      <c r="M58" s="344"/>
    </row>
    <row r="59" spans="1:13" ht="17.25" x14ac:dyDescent="0.25">
      <c r="A59" s="293" t="s">
        <v>233</v>
      </c>
      <c r="B59" s="329"/>
      <c r="C59" s="302"/>
      <c r="D59" s="344">
        <f>+'RPP Settlement &amp; 1st TU'!K12</f>
        <v>-4271000.0000000019</v>
      </c>
      <c r="F59" s="293" t="s">
        <v>362</v>
      </c>
      <c r="G59" s="329"/>
      <c r="H59" s="302"/>
      <c r="I59" s="344">
        <f>+D59</f>
        <v>-4271000.0000000019</v>
      </c>
      <c r="J59" s="386"/>
      <c r="L59" s="344"/>
      <c r="M59" s="344"/>
    </row>
    <row r="60" spans="1:13" ht="17.25" x14ac:dyDescent="0.25">
      <c r="A60" s="293" t="s">
        <v>239</v>
      </c>
      <c r="B60" s="320">
        <f>+D60/C60</f>
        <v>-0.62071240441801245</v>
      </c>
      <c r="C60" s="302">
        <f>+D6</f>
        <v>8000000</v>
      </c>
      <c r="D60" s="343">
        <v>-4965699.2353440998</v>
      </c>
      <c r="F60" s="293" t="s">
        <v>234</v>
      </c>
      <c r="G60" s="320">
        <f>+I60/H60</f>
        <v>-0.62071240441801245</v>
      </c>
      <c r="H60" s="302">
        <f>+I6</f>
        <v>8000000</v>
      </c>
      <c r="I60" s="343">
        <v>-4965699.2353440998</v>
      </c>
      <c r="J60" s="386"/>
      <c r="K60" s="344"/>
      <c r="L60" s="344"/>
      <c r="M60" s="344"/>
    </row>
    <row r="61" spans="1:13" ht="15.75" thickBot="1" x14ac:dyDescent="0.3">
      <c r="A61" s="293" t="s">
        <v>50</v>
      </c>
      <c r="B61" s="329"/>
      <c r="C61" s="302"/>
      <c r="D61" s="345">
        <f>SUM(D54:D60)</f>
        <v>52597863.636363603</v>
      </c>
      <c r="F61" s="293" t="s">
        <v>236</v>
      </c>
      <c r="G61" s="329"/>
      <c r="H61" s="302"/>
      <c r="I61" s="345">
        <f>SUM(I54:I60)</f>
        <v>57665509.530125</v>
      </c>
      <c r="J61" s="347"/>
      <c r="K61" s="347"/>
      <c r="L61" s="347"/>
      <c r="M61" s="347"/>
    </row>
    <row r="62" spans="1:13" ht="15.75" thickTop="1" x14ac:dyDescent="0.25">
      <c r="B62" s="329"/>
      <c r="C62" s="302"/>
      <c r="D62" s="348"/>
      <c r="G62" s="329"/>
      <c r="H62" s="302"/>
      <c r="I62" s="348"/>
      <c r="J62" s="346"/>
      <c r="K62" s="347"/>
      <c r="L62" s="347"/>
      <c r="M62" s="347"/>
    </row>
    <row r="63" spans="1:13" ht="18.75" x14ac:dyDescent="0.3">
      <c r="A63" s="291" t="s">
        <v>124</v>
      </c>
      <c r="D63" s="321"/>
      <c r="E63" s="321"/>
      <c r="F63" s="291" t="s">
        <v>125</v>
      </c>
      <c r="I63" s="321"/>
      <c r="K63" s="291" t="s">
        <v>215</v>
      </c>
    </row>
    <row r="64" spans="1:13" ht="18.75" x14ac:dyDescent="0.3">
      <c r="A64" s="291"/>
      <c r="F64" s="291"/>
    </row>
    <row r="65" spans="1:16" x14ac:dyDescent="0.25">
      <c r="A65" s="310" t="s">
        <v>115</v>
      </c>
      <c r="F65" s="310" t="s">
        <v>121</v>
      </c>
      <c r="K65" s="310" t="s">
        <v>211</v>
      </c>
    </row>
    <row r="66" spans="1:16" ht="30" x14ac:dyDescent="0.25">
      <c r="A66" s="310"/>
      <c r="B66" s="294" t="s">
        <v>365</v>
      </c>
      <c r="C66" s="295" t="s">
        <v>17</v>
      </c>
      <c r="D66" s="295" t="s">
        <v>40</v>
      </c>
      <c r="F66" s="310"/>
      <c r="G66" s="294" t="s">
        <v>365</v>
      </c>
      <c r="H66" s="295" t="s">
        <v>17</v>
      </c>
      <c r="I66" s="295" t="s">
        <v>40</v>
      </c>
      <c r="K66" s="310"/>
      <c r="L66" s="294" t="s">
        <v>365</v>
      </c>
      <c r="M66" s="295" t="s">
        <v>17</v>
      </c>
      <c r="N66" s="295" t="s">
        <v>183</v>
      </c>
      <c r="O66" s="292" t="s">
        <v>214</v>
      </c>
      <c r="P66" s="292" t="s">
        <v>213</v>
      </c>
    </row>
    <row r="67" spans="1:16" x14ac:dyDescent="0.25">
      <c r="A67" s="293" t="s">
        <v>2</v>
      </c>
      <c r="B67" s="327">
        <f>+D33</f>
        <v>7.6999999999999999E-2</v>
      </c>
      <c r="C67" s="298">
        <f>+C33</f>
        <v>5000000</v>
      </c>
      <c r="D67" s="349">
        <f>+C67*B67</f>
        <v>385000</v>
      </c>
      <c r="F67" s="293" t="s">
        <v>2</v>
      </c>
      <c r="G67" s="328">
        <f>+I33</f>
        <v>7.6999999999999999E-2</v>
      </c>
      <c r="H67" s="301">
        <f>+H33</f>
        <v>5000000</v>
      </c>
      <c r="I67" s="349">
        <f>+H67*G67</f>
        <v>385000</v>
      </c>
      <c r="J67" s="349"/>
      <c r="K67" s="293" t="s">
        <v>2</v>
      </c>
      <c r="L67" s="328">
        <f>+N33</f>
        <v>7.6999999999999999E-2</v>
      </c>
      <c r="M67" s="301">
        <f>+M33</f>
        <v>5000000</v>
      </c>
      <c r="N67" s="349">
        <f>+M67*L67</f>
        <v>385000</v>
      </c>
      <c r="O67" s="349">
        <f>N67/2</f>
        <v>192500</v>
      </c>
      <c r="P67" s="349">
        <f>O67</f>
        <v>192500</v>
      </c>
    </row>
    <row r="68" spans="1:16" x14ac:dyDescent="0.25">
      <c r="A68" s="293" t="s">
        <v>3</v>
      </c>
      <c r="B68" s="327">
        <f>+D34</f>
        <v>8.8999999999999996E-2</v>
      </c>
      <c r="C68" s="298">
        <f>+C34</f>
        <v>7000000</v>
      </c>
      <c r="D68" s="349">
        <f>+C68*B68</f>
        <v>623000</v>
      </c>
      <c r="F68" s="293" t="s">
        <v>3</v>
      </c>
      <c r="G68" s="328">
        <f>+I34</f>
        <v>8.8999999999999996E-2</v>
      </c>
      <c r="H68" s="301">
        <f>+H34</f>
        <v>7000000</v>
      </c>
      <c r="I68" s="349">
        <f t="shared" ref="I68:I71" si="10">+H68*G68</f>
        <v>623000</v>
      </c>
      <c r="J68" s="349"/>
      <c r="K68" s="293" t="s">
        <v>3</v>
      </c>
      <c r="L68" s="328">
        <f>+N34</f>
        <v>8.8999999999999996E-2</v>
      </c>
      <c r="M68" s="301">
        <f>+M34</f>
        <v>7000000</v>
      </c>
      <c r="N68" s="349">
        <f t="shared" ref="N68:N71" si="11">+M68*L68</f>
        <v>623000</v>
      </c>
      <c r="O68" s="349">
        <f t="shared" ref="O68" si="12">N68/2</f>
        <v>311500</v>
      </c>
      <c r="P68" s="349">
        <f t="shared" ref="P68:P71" si="13">O68</f>
        <v>311500</v>
      </c>
    </row>
    <row r="69" spans="1:16" x14ac:dyDescent="0.25">
      <c r="A69" s="293" t="s">
        <v>4</v>
      </c>
      <c r="B69" s="327">
        <f>+D35</f>
        <v>6.5000000000000002E-2</v>
      </c>
      <c r="C69" s="298">
        <f>+C35</f>
        <v>100000000</v>
      </c>
      <c r="D69" s="349">
        <f>+C69*B69</f>
        <v>6500000</v>
      </c>
      <c r="F69" s="293" t="s">
        <v>4</v>
      </c>
      <c r="G69" s="328">
        <f>+I35</f>
        <v>6.5000000000000002E-2</v>
      </c>
      <c r="H69" s="301">
        <f>+H35</f>
        <v>100000000</v>
      </c>
      <c r="I69" s="349">
        <f t="shared" si="10"/>
        <v>6500000</v>
      </c>
      <c r="J69" s="349"/>
      <c r="K69" s="293" t="s">
        <v>4</v>
      </c>
      <c r="L69" s="328">
        <f>+N35</f>
        <v>6.5000000000000002E-2</v>
      </c>
      <c r="M69" s="301">
        <f>+M35</f>
        <v>100000000</v>
      </c>
      <c r="N69" s="349">
        <f t="shared" si="11"/>
        <v>6500000</v>
      </c>
      <c r="O69" s="349">
        <f t="shared" ref="O69" si="14">N69/2</f>
        <v>3250000</v>
      </c>
      <c r="P69" s="349">
        <f t="shared" si="13"/>
        <v>3250000</v>
      </c>
    </row>
    <row r="70" spans="1:16" x14ac:dyDescent="0.25">
      <c r="A70" s="293" t="s">
        <v>6</v>
      </c>
      <c r="B70" s="327">
        <f>+D36</f>
        <v>9.4E-2</v>
      </c>
      <c r="C70" s="298">
        <f>+C36</f>
        <v>50000000</v>
      </c>
      <c r="D70" s="349">
        <f>+C70*B70</f>
        <v>4700000</v>
      </c>
      <c r="F70" s="293" t="s">
        <v>6</v>
      </c>
      <c r="G70" s="328">
        <f>+I36</f>
        <v>9.4E-2</v>
      </c>
      <c r="H70" s="301">
        <f>+H36</f>
        <v>50000000</v>
      </c>
      <c r="I70" s="349">
        <f t="shared" si="10"/>
        <v>4700000</v>
      </c>
      <c r="J70" s="349"/>
      <c r="K70" s="293" t="s">
        <v>6</v>
      </c>
      <c r="L70" s="328">
        <f>+N36</f>
        <v>9.4E-2</v>
      </c>
      <c r="M70" s="301">
        <f>+M36</f>
        <v>50000000</v>
      </c>
      <c r="N70" s="349">
        <f t="shared" si="11"/>
        <v>4700000</v>
      </c>
      <c r="O70" s="349">
        <f t="shared" ref="O70" si="15">N70/2</f>
        <v>2350000</v>
      </c>
      <c r="P70" s="349">
        <f t="shared" si="13"/>
        <v>2350000</v>
      </c>
    </row>
    <row r="71" spans="1:16" x14ac:dyDescent="0.25">
      <c r="A71" s="293" t="s">
        <v>5</v>
      </c>
      <c r="B71" s="327">
        <f>+D37</f>
        <v>0.13200000000000001</v>
      </c>
      <c r="C71" s="298">
        <f>+C37</f>
        <v>63000000.000000007</v>
      </c>
      <c r="D71" s="349">
        <f>+C71*B71</f>
        <v>8316000.0000000009</v>
      </c>
      <c r="F71" s="293" t="s">
        <v>5</v>
      </c>
      <c r="G71" s="328">
        <f>+I37</f>
        <v>0.13200000000000001</v>
      </c>
      <c r="H71" s="301">
        <f>+H37</f>
        <v>63000000.000000007</v>
      </c>
      <c r="I71" s="349">
        <f t="shared" si="10"/>
        <v>8316000.0000000009</v>
      </c>
      <c r="J71" s="349"/>
      <c r="K71" s="293" t="s">
        <v>5</v>
      </c>
      <c r="L71" s="328">
        <f>+N37</f>
        <v>0.13200000000000001</v>
      </c>
      <c r="M71" s="301">
        <f>+M37</f>
        <v>63000000.000000007</v>
      </c>
      <c r="N71" s="349">
        <f t="shared" si="11"/>
        <v>8316000.0000000009</v>
      </c>
      <c r="O71" s="349">
        <f t="shared" ref="O71" si="16">N71/2</f>
        <v>4158000.0000000005</v>
      </c>
      <c r="P71" s="349">
        <f t="shared" si="13"/>
        <v>4158000.0000000005</v>
      </c>
    </row>
    <row r="72" spans="1:16" ht="15.75" thickBot="1" x14ac:dyDescent="0.3">
      <c r="A72" s="293" t="s">
        <v>21</v>
      </c>
      <c r="B72" s="305"/>
      <c r="C72" s="350">
        <f>SUM(C67:C71)</f>
        <v>225000000</v>
      </c>
      <c r="D72" s="345">
        <f>SUM(D67:D71)</f>
        <v>20524000</v>
      </c>
      <c r="F72" s="293" t="s">
        <v>29</v>
      </c>
      <c r="H72" s="350">
        <f>SUM(H67:H71)</f>
        <v>225000000</v>
      </c>
      <c r="I72" s="345">
        <f>SUM(I67:I71)</f>
        <v>20524000</v>
      </c>
      <c r="J72" s="351"/>
      <c r="K72" s="293" t="s">
        <v>29</v>
      </c>
      <c r="M72" s="350">
        <f>SUM(M67:M71)</f>
        <v>225000000</v>
      </c>
      <c r="N72" s="345">
        <f>SUM(N67:N71)</f>
        <v>20524000</v>
      </c>
      <c r="O72" s="352">
        <f t="shared" ref="O72" si="17">N72/2</f>
        <v>10262000</v>
      </c>
      <c r="P72" s="345">
        <f>SUM(P67:P71)</f>
        <v>10262000</v>
      </c>
    </row>
    <row r="73" spans="1:16" ht="15.75" thickTop="1" x14ac:dyDescent="0.25">
      <c r="C73" s="353"/>
      <c r="D73" s="351"/>
      <c r="I73" s="305"/>
      <c r="N73" s="305"/>
    </row>
    <row r="74" spans="1:16" x14ac:dyDescent="0.25">
      <c r="A74" s="310" t="s">
        <v>122</v>
      </c>
      <c r="F74" s="310" t="s">
        <v>367</v>
      </c>
      <c r="I74" s="305"/>
      <c r="J74" s="351"/>
      <c r="K74" s="310" t="s">
        <v>369</v>
      </c>
      <c r="N74" s="305"/>
    </row>
    <row r="75" spans="1:16" x14ac:dyDescent="0.25">
      <c r="A75" s="310"/>
      <c r="B75" s="295" t="s">
        <v>39</v>
      </c>
      <c r="C75" s="340" t="s">
        <v>17</v>
      </c>
      <c r="D75" s="339" t="s">
        <v>40</v>
      </c>
      <c r="F75" s="310"/>
      <c r="G75" s="295" t="s">
        <v>39</v>
      </c>
      <c r="H75" s="340" t="s">
        <v>17</v>
      </c>
      <c r="I75" s="354" t="s">
        <v>40</v>
      </c>
      <c r="J75" s="351"/>
      <c r="K75" s="310"/>
      <c r="L75" s="295" t="s">
        <v>39</v>
      </c>
      <c r="M75" s="340" t="s">
        <v>17</v>
      </c>
      <c r="N75" s="354" t="s">
        <v>40</v>
      </c>
      <c r="O75" s="292" t="s">
        <v>214</v>
      </c>
      <c r="P75" s="292" t="s">
        <v>213</v>
      </c>
    </row>
    <row r="76" spans="1:16" x14ac:dyDescent="0.25">
      <c r="A76" s="293" t="s">
        <v>132</v>
      </c>
      <c r="B76" s="329">
        <f>+B44</f>
        <v>2.7681818181818182E-2</v>
      </c>
      <c r="C76" s="353">
        <f>+D28</f>
        <v>310000000</v>
      </c>
      <c r="D76" s="348">
        <f>+B76*C76</f>
        <v>8581363.6363636367</v>
      </c>
      <c r="E76" s="321"/>
      <c r="F76" s="293" t="s">
        <v>132</v>
      </c>
      <c r="G76" s="355">
        <f>+G44</f>
        <v>2.7681818181818182E-2</v>
      </c>
      <c r="H76" s="353">
        <f>+I28</f>
        <v>310000000</v>
      </c>
      <c r="I76" s="356">
        <f>+G76*H76</f>
        <v>8581363.6363636367</v>
      </c>
      <c r="J76" s="357"/>
      <c r="K76" s="293" t="s">
        <v>132</v>
      </c>
      <c r="L76" s="355">
        <f>+G76</f>
        <v>2.7681818181818182E-2</v>
      </c>
      <c r="M76" s="353">
        <f>+N28</f>
        <v>310000000</v>
      </c>
      <c r="N76" s="356">
        <f>+L76*M76</f>
        <v>8581363.6363636367</v>
      </c>
      <c r="O76" s="321">
        <f>N76/2</f>
        <v>4290681.8181818184</v>
      </c>
      <c r="P76" s="321">
        <f>O76</f>
        <v>4290681.8181818184</v>
      </c>
    </row>
    <row r="77" spans="1:16" x14ac:dyDescent="0.25">
      <c r="A77" s="293" t="s">
        <v>106</v>
      </c>
      <c r="B77" s="329"/>
      <c r="C77" s="353"/>
      <c r="D77" s="348">
        <f>D56</f>
        <v>1850000</v>
      </c>
      <c r="F77" s="293" t="s">
        <v>123</v>
      </c>
      <c r="G77" s="355"/>
      <c r="H77" s="358"/>
      <c r="I77" s="356">
        <f>+I56</f>
        <v>1980000</v>
      </c>
      <c r="J77" s="357"/>
      <c r="K77" s="293" t="s">
        <v>123</v>
      </c>
      <c r="L77" s="355"/>
      <c r="M77" s="358"/>
      <c r="N77" s="356">
        <f>I77</f>
        <v>1980000</v>
      </c>
      <c r="O77" s="321">
        <f>N77</f>
        <v>1980000</v>
      </c>
    </row>
    <row r="78" spans="1:16" x14ac:dyDescent="0.25">
      <c r="A78" s="293" t="s">
        <v>105</v>
      </c>
      <c r="B78" s="329">
        <f>+B45</f>
        <v>0.10589999999999999</v>
      </c>
      <c r="C78" s="353">
        <f>+C28</f>
        <v>275000000</v>
      </c>
      <c r="D78" s="348">
        <f>+B78*C78</f>
        <v>29122500</v>
      </c>
      <c r="F78" s="293" t="s">
        <v>105</v>
      </c>
      <c r="G78" s="329">
        <f>+G45</f>
        <v>0.10589999999999999</v>
      </c>
      <c r="H78" s="353">
        <f>+H28</f>
        <v>275000000</v>
      </c>
      <c r="I78" s="348">
        <f>+G78*H78</f>
        <v>29122500</v>
      </c>
      <c r="J78" s="351"/>
      <c r="K78" s="293" t="s">
        <v>105</v>
      </c>
      <c r="L78" s="329">
        <f>G78</f>
        <v>0.10589999999999999</v>
      </c>
      <c r="M78" s="353">
        <f>+M28</f>
        <v>275000000</v>
      </c>
      <c r="N78" s="348">
        <f>I78</f>
        <v>29122500</v>
      </c>
      <c r="O78" s="321">
        <f>N78/2</f>
        <v>14561250</v>
      </c>
      <c r="P78" s="321">
        <f>O78</f>
        <v>14561250</v>
      </c>
    </row>
    <row r="79" spans="1:16" ht="15.75" thickBot="1" x14ac:dyDescent="0.3">
      <c r="C79" s="353"/>
      <c r="D79" s="352">
        <f>SUM(D76:D78)</f>
        <v>39553863.63636364</v>
      </c>
      <c r="E79" s="321"/>
      <c r="H79" s="353"/>
      <c r="I79" s="352">
        <f>SUM(I76:I78)</f>
        <v>39683863.63636364</v>
      </c>
      <c r="J79" s="351"/>
      <c r="M79" s="353"/>
      <c r="N79" s="352">
        <f>SUM(N76:N78)</f>
        <v>39683863.63636364</v>
      </c>
      <c r="O79" s="352">
        <f t="shared" ref="O79:P79" si="18">SUM(O76:O78)</f>
        <v>20831931.81818182</v>
      </c>
      <c r="P79" s="352">
        <f t="shared" si="18"/>
        <v>18851931.81818182</v>
      </c>
    </row>
    <row r="80" spans="1:16" ht="15.75" thickTop="1" x14ac:dyDescent="0.25">
      <c r="C80" s="353"/>
      <c r="D80" s="351"/>
      <c r="E80" s="383"/>
      <c r="H80" s="353"/>
      <c r="I80" s="351"/>
      <c r="J80" s="351"/>
      <c r="K80" s="351"/>
      <c r="L80" s="351"/>
      <c r="M80" s="351"/>
    </row>
    <row r="81" spans="1:17" ht="15.75" thickBot="1" x14ac:dyDescent="0.3">
      <c r="A81" s="310" t="s">
        <v>373</v>
      </c>
      <c r="D81" s="321"/>
      <c r="E81" s="384"/>
      <c r="F81" s="422" t="s">
        <v>364</v>
      </c>
      <c r="I81" s="321"/>
      <c r="J81" s="351"/>
      <c r="K81" s="351"/>
      <c r="L81" s="351"/>
      <c r="M81" s="351"/>
      <c r="N81" s="293" t="s">
        <v>218</v>
      </c>
      <c r="P81" s="359">
        <f>P79+P72</f>
        <v>29113931.81818182</v>
      </c>
    </row>
    <row r="82" spans="1:17" ht="15.75" thickTop="1" x14ac:dyDescent="0.25">
      <c r="D82" s="321"/>
      <c r="E82" s="321"/>
      <c r="I82" s="321"/>
      <c r="J82" s="351"/>
      <c r="K82" s="351"/>
      <c r="L82" s="360"/>
      <c r="M82" s="351"/>
      <c r="Q82" s="361"/>
    </row>
    <row r="83" spans="1:17" ht="17.25" x14ac:dyDescent="0.25">
      <c r="A83" s="310"/>
      <c r="B83" s="295" t="s">
        <v>39</v>
      </c>
      <c r="C83" s="340" t="s">
        <v>17</v>
      </c>
      <c r="D83" s="339" t="s">
        <v>40</v>
      </c>
      <c r="F83" s="310"/>
      <c r="G83" s="295" t="s">
        <v>39</v>
      </c>
      <c r="H83" s="340" t="s">
        <v>17</v>
      </c>
      <c r="I83" s="295" t="s">
        <v>337</v>
      </c>
      <c r="J83" s="351"/>
      <c r="K83" s="351"/>
      <c r="L83" s="360"/>
      <c r="M83" s="351"/>
    </row>
    <row r="84" spans="1:17" x14ac:dyDescent="0.25">
      <c r="A84" s="305" t="s">
        <v>290</v>
      </c>
      <c r="B84" s="329">
        <f>+D84/C84</f>
        <v>3.15E-2</v>
      </c>
      <c r="C84" s="301">
        <f>+D27</f>
        <v>225000000</v>
      </c>
      <c r="D84" s="343">
        <v>7087500</v>
      </c>
      <c r="F84" s="305" t="s">
        <v>291</v>
      </c>
      <c r="G84" s="10">
        <f>((+I54+I55+I60)-(I85/(I28/I11)))/I10</f>
        <v>3.1848807346377295E-2</v>
      </c>
      <c r="H84" s="301">
        <f>+I27</f>
        <v>225000000</v>
      </c>
      <c r="I84" s="362">
        <f>+H84*G84</f>
        <v>7165981.6529348912</v>
      </c>
      <c r="J84" s="363"/>
      <c r="K84" s="363"/>
      <c r="L84" s="360"/>
      <c r="M84" s="351"/>
      <c r="Q84" s="324"/>
    </row>
    <row r="85" spans="1:17" x14ac:dyDescent="0.25">
      <c r="A85" s="305" t="s">
        <v>289</v>
      </c>
      <c r="B85" s="329">
        <f>+D85/C85</f>
        <v>2.7681818181818182E-2</v>
      </c>
      <c r="C85" s="301">
        <f>+D28</f>
        <v>310000000</v>
      </c>
      <c r="D85" s="343">
        <v>8581363.6363636367</v>
      </c>
      <c r="F85" s="305" t="s">
        <v>292</v>
      </c>
      <c r="G85" s="329">
        <f>+I85/H85</f>
        <v>2.7681818181818182E-2</v>
      </c>
      <c r="H85" s="301">
        <f>+I28</f>
        <v>310000000</v>
      </c>
      <c r="I85" s="344">
        <f>+D85</f>
        <v>8581363.6363636367</v>
      </c>
      <c r="J85" s="363"/>
      <c r="K85" s="363"/>
      <c r="L85" s="360"/>
      <c r="M85" s="351"/>
    </row>
    <row r="86" spans="1:17" ht="15.75" thickBot="1" x14ac:dyDescent="0.3">
      <c r="B86" s="364">
        <f>+D86/C86</f>
        <v>2.9287595581988107E-2</v>
      </c>
      <c r="C86" s="365">
        <f>SUM(C84:C85)</f>
        <v>535000000</v>
      </c>
      <c r="D86" s="366">
        <f>+D84+D85</f>
        <v>15668863.636363637</v>
      </c>
      <c r="G86" s="364">
        <f>+I86/H86</f>
        <v>2.9434290260371077E-2</v>
      </c>
      <c r="H86" s="365">
        <f>SUM(H84:H85)</f>
        <v>535000000</v>
      </c>
      <c r="I86" s="366">
        <f>+I84+I85</f>
        <v>15747345.289298527</v>
      </c>
      <c r="J86" s="353"/>
      <c r="K86" s="351"/>
      <c r="L86" s="351"/>
      <c r="M86" s="351"/>
    </row>
    <row r="87" spans="1:17" ht="15.75" thickTop="1" x14ac:dyDescent="0.25">
      <c r="D87" s="332"/>
      <c r="J87" s="379"/>
    </row>
    <row r="88" spans="1:17" ht="378.75" customHeight="1" x14ac:dyDescent="0.25">
      <c r="A88" s="437" t="s">
        <v>361</v>
      </c>
      <c r="B88" s="437"/>
      <c r="C88" s="437"/>
      <c r="D88" s="437"/>
      <c r="F88" s="436" t="s">
        <v>366</v>
      </c>
      <c r="G88" s="436"/>
      <c r="H88" s="436"/>
      <c r="I88" s="436"/>
    </row>
    <row r="89" spans="1:17" x14ac:dyDescent="0.25">
      <c r="A89" s="435"/>
      <c r="B89" s="435"/>
      <c r="C89" s="435"/>
      <c r="D89" s="435"/>
      <c r="F89" s="435"/>
      <c r="G89" s="435"/>
      <c r="H89" s="435"/>
      <c r="I89" s="435"/>
    </row>
    <row r="90" spans="1:17" x14ac:dyDescent="0.25">
      <c r="A90" s="435"/>
      <c r="B90" s="435"/>
      <c r="C90" s="435"/>
      <c r="D90" s="435"/>
      <c r="E90" s="367"/>
      <c r="F90" s="435"/>
      <c r="G90" s="435"/>
      <c r="H90" s="435"/>
      <c r="I90" s="435"/>
    </row>
    <row r="91" spans="1:17" x14ac:dyDescent="0.25">
      <c r="A91" s="437"/>
      <c r="B91" s="437"/>
      <c r="C91" s="437"/>
      <c r="D91" s="437"/>
      <c r="F91" s="435"/>
      <c r="G91" s="435"/>
      <c r="H91" s="435"/>
      <c r="I91" s="435"/>
    </row>
    <row r="92" spans="1:17" x14ac:dyDescent="0.25">
      <c r="A92" s="434"/>
      <c r="B92" s="434"/>
      <c r="C92" s="434"/>
      <c r="D92" s="434"/>
      <c r="E92" s="367"/>
      <c r="F92" s="435"/>
      <c r="G92" s="435"/>
      <c r="H92" s="435"/>
      <c r="I92" s="435"/>
    </row>
    <row r="93" spans="1:17" x14ac:dyDescent="0.25">
      <c r="A93" s="434"/>
      <c r="B93" s="434"/>
      <c r="C93" s="434"/>
      <c r="D93" s="434"/>
      <c r="E93" s="301"/>
      <c r="J93" s="321"/>
    </row>
    <row r="94" spans="1:17" x14ac:dyDescent="0.25">
      <c r="E94" s="301"/>
      <c r="F94" s="368"/>
      <c r="G94" s="369"/>
      <c r="H94" s="370"/>
      <c r="I94" s="348"/>
      <c r="J94" s="321"/>
    </row>
    <row r="95" spans="1:17" x14ac:dyDescent="0.25">
      <c r="F95" s="368"/>
      <c r="G95" s="369"/>
      <c r="H95" s="370"/>
      <c r="I95" s="371"/>
    </row>
    <row r="96" spans="1:17" x14ac:dyDescent="0.25">
      <c r="F96" s="368"/>
      <c r="G96" s="368"/>
      <c r="H96" s="368"/>
      <c r="I96" s="368"/>
    </row>
  </sheetData>
  <mergeCells count="11">
    <mergeCell ref="A92:D92"/>
    <mergeCell ref="A93:D93"/>
    <mergeCell ref="A89:D89"/>
    <mergeCell ref="F88:I88"/>
    <mergeCell ref="F92:I92"/>
    <mergeCell ref="F89:I89"/>
    <mergeCell ref="A88:D88"/>
    <mergeCell ref="A90:D90"/>
    <mergeCell ref="F90:I90"/>
    <mergeCell ref="F91:I91"/>
    <mergeCell ref="A91:D91"/>
  </mergeCells>
  <pageMargins left="0.7" right="0.7" top="0.75" bottom="0.75" header="0.3" footer="0.3"/>
  <pageSetup paperSize="17" scale="51"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showGridLines="0" topLeftCell="A20" zoomScaleNormal="100" workbookViewId="0">
      <selection sqref="A1:K36"/>
    </sheetView>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81" t="s">
        <v>76</v>
      </c>
    </row>
    <row r="3" spans="1:32" ht="18.75" x14ac:dyDescent="0.3">
      <c r="A3" s="25" t="s">
        <v>267</v>
      </c>
      <c r="M3" s="40"/>
      <c r="N3" s="8"/>
      <c r="O3" s="8"/>
      <c r="P3" s="8"/>
      <c r="Q3" s="8"/>
      <c r="R3" s="8"/>
      <c r="S3" s="8"/>
      <c r="T3" s="8"/>
      <c r="U3" s="8"/>
      <c r="V3" s="40"/>
      <c r="W3" s="8"/>
      <c r="X3" s="8"/>
      <c r="Y3" s="8"/>
      <c r="Z3" s="8"/>
      <c r="AA3" s="8"/>
      <c r="AB3" s="8"/>
      <c r="AC3" s="8"/>
      <c r="AD3" s="8"/>
      <c r="AE3" s="8"/>
      <c r="AF3" s="8"/>
    </row>
    <row r="4" spans="1:32" x14ac:dyDescent="0.25">
      <c r="A4" s="11"/>
      <c r="M4" s="30"/>
      <c r="N4" s="8"/>
      <c r="O4" s="8"/>
      <c r="P4" s="8"/>
      <c r="Q4" s="8"/>
      <c r="R4" s="8"/>
      <c r="S4" s="8"/>
      <c r="T4" s="8"/>
      <c r="U4" s="8"/>
      <c r="V4" s="30"/>
      <c r="W4" s="8"/>
      <c r="X4" s="8"/>
      <c r="Y4" s="8"/>
      <c r="Z4" s="8"/>
      <c r="AA4" s="8"/>
      <c r="AB4" s="8"/>
      <c r="AC4" s="8"/>
      <c r="AD4" s="8"/>
      <c r="AE4" s="8"/>
      <c r="AF4" s="8"/>
    </row>
    <row r="5" spans="1:32" x14ac:dyDescent="0.25">
      <c r="A5" s="11" t="s">
        <v>135</v>
      </c>
      <c r="M5" s="30"/>
      <c r="N5" s="8"/>
      <c r="O5" s="8"/>
      <c r="P5" s="8"/>
      <c r="Q5" s="8"/>
      <c r="R5" s="8"/>
      <c r="S5" s="8"/>
      <c r="T5" s="8"/>
      <c r="U5" s="8"/>
      <c r="V5" s="30"/>
      <c r="W5" s="8"/>
      <c r="X5" s="8"/>
      <c r="Y5" s="8"/>
      <c r="Z5" s="8"/>
      <c r="AA5" s="8"/>
      <c r="AB5" s="8"/>
      <c r="AC5" s="8"/>
      <c r="AD5" s="8"/>
      <c r="AE5" s="8"/>
      <c r="AF5" s="8"/>
    </row>
    <row r="6" spans="1:32" ht="45" x14ac:dyDescent="0.25">
      <c r="A6" s="45" t="s">
        <v>38</v>
      </c>
      <c r="B6" s="46" t="s">
        <v>19</v>
      </c>
      <c r="C6" s="47" t="s">
        <v>71</v>
      </c>
      <c r="D6" s="46" t="s">
        <v>31</v>
      </c>
      <c r="E6" s="47" t="s">
        <v>30</v>
      </c>
      <c r="F6" s="46" t="s">
        <v>10</v>
      </c>
      <c r="G6" s="46" t="s">
        <v>17</v>
      </c>
      <c r="H6" s="47" t="s">
        <v>82</v>
      </c>
      <c r="I6" s="47" t="s">
        <v>78</v>
      </c>
      <c r="J6" s="47" t="s">
        <v>81</v>
      </c>
      <c r="K6" s="47" t="s">
        <v>185</v>
      </c>
      <c r="M6" s="30"/>
      <c r="N6" s="35"/>
      <c r="O6" s="35"/>
      <c r="P6" s="35"/>
      <c r="Q6" s="41"/>
      <c r="R6" s="30"/>
      <c r="S6" s="35"/>
      <c r="T6" s="36"/>
      <c r="U6" s="8"/>
      <c r="V6" s="30"/>
      <c r="W6" s="35"/>
      <c r="X6" s="35"/>
      <c r="Y6" s="35"/>
      <c r="Z6" s="41"/>
      <c r="AA6" s="30"/>
      <c r="AB6" s="35"/>
      <c r="AC6" s="36"/>
      <c r="AD6" s="8"/>
      <c r="AE6" s="8"/>
      <c r="AF6" s="8"/>
    </row>
    <row r="7" spans="1:32" x14ac:dyDescent="0.25">
      <c r="A7" s="48" t="s">
        <v>2</v>
      </c>
      <c r="B7" s="42">
        <f>+'Data for Settlement &amp; 1st TU'!D33</f>
        <v>7.6999999999999999E-2</v>
      </c>
      <c r="C7" s="42">
        <f>+'Data for Settlement &amp; 1st TU'!$B$43</f>
        <v>3.15E-2</v>
      </c>
      <c r="D7" s="50">
        <f>+'Data for Settlement &amp; 1st TU'!$B$46</f>
        <v>7.8700000000000006E-2</v>
      </c>
      <c r="E7" s="50">
        <f>+C7+D7</f>
        <v>0.11020000000000001</v>
      </c>
      <c r="F7" s="51">
        <f>+B7-E7</f>
        <v>-3.3200000000000007E-2</v>
      </c>
      <c r="G7" s="20">
        <f>'Data for Settlement &amp; 1st TU'!C16</f>
        <v>5000000</v>
      </c>
      <c r="H7" s="4">
        <f>+G7*B7</f>
        <v>385000</v>
      </c>
      <c r="I7" s="4">
        <f>+G7*C7</f>
        <v>157500</v>
      </c>
      <c r="J7" s="4">
        <f>+G7*D7</f>
        <v>393500.00000000006</v>
      </c>
      <c r="K7" s="4">
        <f>+H7-I7-J7</f>
        <v>-166000.00000000006</v>
      </c>
      <c r="M7" s="8"/>
      <c r="N7" s="37"/>
      <c r="O7" s="42"/>
      <c r="P7" s="42"/>
      <c r="Q7" s="42"/>
      <c r="R7" s="43"/>
      <c r="S7" s="38"/>
      <c r="T7" s="28"/>
      <c r="U7" s="8"/>
      <c r="V7" s="8"/>
      <c r="W7" s="42"/>
      <c r="X7" s="42"/>
      <c r="Y7" s="42"/>
      <c r="Z7" s="42"/>
      <c r="AA7" s="43"/>
      <c r="AB7" s="38"/>
      <c r="AC7" s="28"/>
      <c r="AD7" s="34"/>
      <c r="AE7" s="8"/>
      <c r="AF7" s="8"/>
    </row>
    <row r="8" spans="1:32" x14ac:dyDescent="0.25">
      <c r="A8" s="52" t="s">
        <v>3</v>
      </c>
      <c r="B8" s="42">
        <f>+'Data for Settlement &amp; 1st TU'!D34</f>
        <v>8.8999999999999996E-2</v>
      </c>
      <c r="C8" s="42">
        <f>+'Data for Settlement &amp; 1st TU'!$B$43</f>
        <v>3.15E-2</v>
      </c>
      <c r="D8" s="42">
        <f>+'Data for Settlement &amp; 1st TU'!$B$46</f>
        <v>7.8700000000000006E-2</v>
      </c>
      <c r="E8" s="42">
        <f t="shared" ref="E8:E11" si="0">+C8+D8</f>
        <v>0.11020000000000001</v>
      </c>
      <c r="F8" s="43">
        <f t="shared" ref="F8:F11" si="1">+B8-E8</f>
        <v>-2.1200000000000011E-2</v>
      </c>
      <c r="G8" s="20">
        <f>'Data for Settlement &amp; 1st TU'!C17</f>
        <v>7000000</v>
      </c>
      <c r="H8" s="4">
        <f t="shared" ref="H8:H11" si="2">+G8*B8</f>
        <v>623000</v>
      </c>
      <c r="I8" s="4">
        <f t="shared" ref="I8:I11" si="3">+G8*C8</f>
        <v>220500</v>
      </c>
      <c r="J8" s="4">
        <f t="shared" ref="J8:J11" si="4">+G8*D8</f>
        <v>550900</v>
      </c>
      <c r="K8" s="4">
        <f t="shared" ref="K8:K11" si="5">+H8-I8-J8</f>
        <v>-148400</v>
      </c>
      <c r="M8" s="8"/>
      <c r="N8" s="37"/>
      <c r="O8" s="42"/>
      <c r="P8" s="42"/>
      <c r="Q8" s="42"/>
      <c r="R8" s="43"/>
      <c r="S8" s="38"/>
      <c r="T8" s="28"/>
      <c r="U8" s="8"/>
      <c r="V8" s="8"/>
      <c r="W8" s="42"/>
      <c r="X8" s="42"/>
      <c r="Y8" s="42"/>
      <c r="Z8" s="42"/>
      <c r="AA8" s="43"/>
      <c r="AB8" s="38"/>
      <c r="AC8" s="28"/>
      <c r="AD8" s="34"/>
      <c r="AE8" s="8"/>
      <c r="AF8" s="8"/>
    </row>
    <row r="9" spans="1:32" x14ac:dyDescent="0.25">
      <c r="A9" s="52" t="s">
        <v>4</v>
      </c>
      <c r="B9" s="42">
        <f>+'Data for Settlement &amp; 1st TU'!D35</f>
        <v>6.5000000000000002E-2</v>
      </c>
      <c r="C9" s="42">
        <f>+'Data for Settlement &amp; 1st TU'!$B$43</f>
        <v>3.15E-2</v>
      </c>
      <c r="D9" s="42">
        <f>+'Data for Settlement &amp; 1st TU'!$B$46</f>
        <v>7.8700000000000006E-2</v>
      </c>
      <c r="E9" s="42">
        <f t="shared" si="0"/>
        <v>0.11020000000000001</v>
      </c>
      <c r="F9" s="43">
        <f t="shared" si="1"/>
        <v>-4.5200000000000004E-2</v>
      </c>
      <c r="G9" s="20">
        <f>'Data for Settlement &amp; 1st TU'!C18</f>
        <v>100000000</v>
      </c>
      <c r="H9" s="4">
        <f t="shared" si="2"/>
        <v>6500000</v>
      </c>
      <c r="I9" s="4">
        <f t="shared" si="3"/>
        <v>3150000</v>
      </c>
      <c r="J9" s="4">
        <f t="shared" si="4"/>
        <v>7870000.0000000009</v>
      </c>
      <c r="K9" s="4">
        <f t="shared" si="5"/>
        <v>-4520000.0000000009</v>
      </c>
      <c r="M9" s="8"/>
      <c r="N9" s="37"/>
      <c r="O9" s="42"/>
      <c r="P9" s="42"/>
      <c r="Q9" s="42"/>
      <c r="R9" s="43"/>
      <c r="S9" s="38"/>
      <c r="T9" s="28"/>
      <c r="U9" s="8"/>
      <c r="V9" s="8"/>
      <c r="W9" s="42"/>
      <c r="X9" s="42"/>
      <c r="Y9" s="42"/>
      <c r="Z9" s="42"/>
      <c r="AA9" s="43"/>
      <c r="AB9" s="38"/>
      <c r="AC9" s="28"/>
      <c r="AD9" s="34"/>
      <c r="AE9" s="8"/>
      <c r="AF9" s="8"/>
    </row>
    <row r="10" spans="1:32" x14ac:dyDescent="0.25">
      <c r="A10" s="52" t="s">
        <v>6</v>
      </c>
      <c r="B10" s="42">
        <f>+'Data for Settlement &amp; 1st TU'!D36</f>
        <v>9.4E-2</v>
      </c>
      <c r="C10" s="42">
        <f>+'Data for Settlement &amp; 1st TU'!$B$43</f>
        <v>3.15E-2</v>
      </c>
      <c r="D10" s="42">
        <f>+'Data for Settlement &amp; 1st TU'!$B$46</f>
        <v>7.8700000000000006E-2</v>
      </c>
      <c r="E10" s="42">
        <f t="shared" si="0"/>
        <v>0.11020000000000001</v>
      </c>
      <c r="F10" s="43">
        <f t="shared" si="1"/>
        <v>-1.6200000000000006E-2</v>
      </c>
      <c r="G10" s="20">
        <f>'Data for Settlement &amp; 1st TU'!C19</f>
        <v>50000000</v>
      </c>
      <c r="H10" s="4">
        <f t="shared" si="2"/>
        <v>4700000</v>
      </c>
      <c r="I10" s="4">
        <f t="shared" si="3"/>
        <v>1575000</v>
      </c>
      <c r="J10" s="4">
        <f t="shared" si="4"/>
        <v>3935000.0000000005</v>
      </c>
      <c r="K10" s="4">
        <f t="shared" si="5"/>
        <v>-810000.00000000047</v>
      </c>
      <c r="M10" s="8"/>
      <c r="N10" s="37"/>
      <c r="O10" s="42"/>
      <c r="P10" s="42"/>
      <c r="Q10" s="42"/>
      <c r="R10" s="43"/>
      <c r="S10" s="38"/>
      <c r="T10" s="28"/>
      <c r="U10" s="8"/>
      <c r="V10" s="8"/>
      <c r="W10" s="42"/>
      <c r="X10" s="42"/>
      <c r="Y10" s="42"/>
      <c r="Z10" s="42"/>
      <c r="AA10" s="43"/>
      <c r="AB10" s="38"/>
      <c r="AC10" s="28"/>
      <c r="AD10" s="34"/>
      <c r="AE10" s="8"/>
      <c r="AF10" s="8"/>
    </row>
    <row r="11" spans="1:32" x14ac:dyDescent="0.25">
      <c r="A11" s="53" t="s">
        <v>5</v>
      </c>
      <c r="B11" s="55">
        <f>+'Data for Settlement &amp; 1st TU'!D37</f>
        <v>0.13200000000000001</v>
      </c>
      <c r="C11" s="55">
        <f>+'Data for Settlement &amp; 1st TU'!$B$43</f>
        <v>3.15E-2</v>
      </c>
      <c r="D11" s="55">
        <f>+'Data for Settlement &amp; 1st TU'!$B$46</f>
        <v>7.8700000000000006E-2</v>
      </c>
      <c r="E11" s="55">
        <f t="shared" si="0"/>
        <v>0.11020000000000001</v>
      </c>
      <c r="F11" s="56">
        <f t="shared" si="1"/>
        <v>2.18E-2</v>
      </c>
      <c r="G11" s="20">
        <f>'Data for Settlement &amp; 1st TU'!C20</f>
        <v>63000000.000000007</v>
      </c>
      <c r="H11" s="4">
        <f t="shared" si="2"/>
        <v>8316000.0000000009</v>
      </c>
      <c r="I11" s="4">
        <f t="shared" si="3"/>
        <v>1984500.0000000002</v>
      </c>
      <c r="J11" s="4">
        <f t="shared" si="4"/>
        <v>4958100.0000000009</v>
      </c>
      <c r="K11" s="4">
        <f t="shared" si="5"/>
        <v>1373400</v>
      </c>
      <c r="M11" s="8"/>
      <c r="N11" s="37"/>
      <c r="O11" s="42"/>
      <c r="P11" s="42"/>
      <c r="Q11" s="42"/>
      <c r="R11" s="43"/>
      <c r="S11" s="38"/>
      <c r="T11" s="28"/>
      <c r="U11" s="8"/>
      <c r="V11" s="8"/>
      <c r="W11" s="42"/>
      <c r="X11" s="42"/>
      <c r="Y11" s="42"/>
      <c r="Z11" s="42"/>
      <c r="AA11" s="43"/>
      <c r="AB11" s="38"/>
      <c r="AC11" s="28"/>
      <c r="AD11" s="34"/>
      <c r="AE11" s="8"/>
      <c r="AF11" s="8"/>
    </row>
    <row r="12" spans="1:32" ht="15.75" thickBot="1" x14ac:dyDescent="0.3">
      <c r="B12" s="124">
        <f>+H12/G12</f>
        <v>9.1217777777777773E-2</v>
      </c>
      <c r="G12" s="18">
        <f>SUM(G7:G11)</f>
        <v>225000000</v>
      </c>
      <c r="H12" s="24">
        <f t="shared" ref="H12:J12" si="6">SUM(H7:H11)</f>
        <v>20524000</v>
      </c>
      <c r="I12" s="24">
        <f t="shared" si="6"/>
        <v>7087500</v>
      </c>
      <c r="J12" s="24">
        <f t="shared" si="6"/>
        <v>17707500</v>
      </c>
      <c r="K12" s="61">
        <f>SUM(K7:K11)</f>
        <v>-4271000.0000000019</v>
      </c>
      <c r="M12" s="8"/>
      <c r="N12" s="8"/>
      <c r="O12" s="8"/>
      <c r="P12" s="8"/>
      <c r="Q12" s="28"/>
      <c r="R12" s="28"/>
      <c r="S12" s="33"/>
      <c r="T12" s="28"/>
      <c r="U12" s="8"/>
      <c r="V12" s="8"/>
      <c r="W12" s="8"/>
      <c r="X12" s="8"/>
      <c r="Y12" s="8"/>
      <c r="Z12" s="28"/>
      <c r="AA12" s="28"/>
      <c r="AB12" s="33"/>
      <c r="AC12" s="28"/>
      <c r="AD12" s="34"/>
      <c r="AE12" s="8"/>
      <c r="AF12" s="8"/>
    </row>
    <row r="13" spans="1:32" x14ac:dyDescent="0.25">
      <c r="I13" s="5"/>
      <c r="M13" s="8"/>
      <c r="N13" s="8"/>
      <c r="O13" s="8"/>
      <c r="P13" s="8"/>
      <c r="Q13" s="8"/>
      <c r="R13" s="8"/>
      <c r="S13" s="8"/>
      <c r="T13" s="8"/>
      <c r="U13" s="8"/>
      <c r="V13" s="8"/>
      <c r="W13" s="8"/>
      <c r="X13" s="8"/>
      <c r="Y13" s="8"/>
      <c r="Z13" s="8"/>
      <c r="AA13" s="8"/>
      <c r="AB13" s="8"/>
      <c r="AC13" s="8"/>
      <c r="AD13" s="8"/>
      <c r="AE13" s="8"/>
      <c r="AF13" s="8"/>
    </row>
    <row r="14" spans="1:32" ht="18.75" x14ac:dyDescent="0.3">
      <c r="A14" s="25" t="s">
        <v>266</v>
      </c>
      <c r="M14" s="30"/>
      <c r="N14" s="8"/>
      <c r="O14" s="8"/>
      <c r="P14" s="8"/>
      <c r="Q14" s="8"/>
      <c r="R14" s="8"/>
      <c r="S14" s="8"/>
      <c r="T14" s="8"/>
      <c r="U14" s="8"/>
      <c r="V14" s="30"/>
      <c r="W14" s="8"/>
      <c r="X14" s="8"/>
      <c r="Y14" s="8"/>
      <c r="Z14" s="8"/>
      <c r="AA14" s="44"/>
      <c r="AB14" s="8"/>
      <c r="AC14" s="8"/>
      <c r="AD14" s="8"/>
      <c r="AE14" s="8"/>
      <c r="AF14" s="8"/>
    </row>
    <row r="15" spans="1:32" x14ac:dyDescent="0.25">
      <c r="A15" s="11"/>
      <c r="M15" s="30"/>
      <c r="N15" s="31"/>
      <c r="O15" s="31"/>
      <c r="P15" s="31"/>
      <c r="Q15" s="31"/>
      <c r="R15" s="31"/>
      <c r="S15" s="15"/>
      <c r="T15" s="15"/>
      <c r="V15" s="30"/>
      <c r="W15" s="31"/>
      <c r="X15" s="31"/>
      <c r="Y15" s="31"/>
      <c r="AA15" s="29"/>
    </row>
    <row r="16" spans="1:32" x14ac:dyDescent="0.25">
      <c r="A16" s="11" t="s">
        <v>136</v>
      </c>
      <c r="M16" s="8"/>
      <c r="N16" s="32"/>
      <c r="O16" s="33"/>
      <c r="P16" s="28"/>
      <c r="Q16" s="28"/>
      <c r="R16" s="28"/>
      <c r="S16" s="4"/>
      <c r="T16" s="4"/>
      <c r="V16" s="8"/>
      <c r="W16" s="32"/>
      <c r="X16" s="33"/>
      <c r="Y16" s="28"/>
      <c r="AA16" s="29"/>
    </row>
    <row r="17" spans="1:27" ht="45" x14ac:dyDescent="0.25">
      <c r="A17" s="45" t="s">
        <v>38</v>
      </c>
      <c r="B17" s="46" t="s">
        <v>19</v>
      </c>
      <c r="C17" s="47" t="s">
        <v>71</v>
      </c>
      <c r="D17" s="46" t="s">
        <v>338</v>
      </c>
      <c r="E17" s="47" t="s">
        <v>30</v>
      </c>
      <c r="F17" s="46" t="s">
        <v>10</v>
      </c>
      <c r="G17" s="46" t="s">
        <v>17</v>
      </c>
      <c r="H17" s="47" t="s">
        <v>82</v>
      </c>
      <c r="I17" s="47" t="s">
        <v>78</v>
      </c>
      <c r="J17" s="47" t="s">
        <v>80</v>
      </c>
      <c r="K17" s="47" t="s">
        <v>185</v>
      </c>
      <c r="M17" s="8"/>
      <c r="N17" s="32"/>
      <c r="O17" s="33"/>
      <c r="P17" s="28"/>
      <c r="Q17" s="28"/>
      <c r="R17" s="28"/>
      <c r="S17" s="4"/>
      <c r="T17" s="4"/>
      <c r="V17" s="8"/>
      <c r="W17" s="32"/>
      <c r="X17" s="33"/>
      <c r="Y17" s="28"/>
      <c r="AA17" s="29"/>
    </row>
    <row r="18" spans="1:27" x14ac:dyDescent="0.25">
      <c r="A18" s="48" t="s">
        <v>2</v>
      </c>
      <c r="B18" s="50">
        <f>+'Data for Settlement &amp; 1st TU'!I33</f>
        <v>7.6999999999999999E-2</v>
      </c>
      <c r="C18" s="50">
        <f>+'Data for Settlement &amp; 1st TU'!$G$43</f>
        <v>3.1848807346377295E-2</v>
      </c>
      <c r="D18" s="50">
        <f>+'Data for Settlement &amp; 1st TU'!$G$48</f>
        <v>8.8359370314842575E-2</v>
      </c>
      <c r="E18" s="50">
        <f>+C18+D18</f>
        <v>0.12020817766121987</v>
      </c>
      <c r="F18" s="51">
        <f>+B18-E18</f>
        <v>-4.3208177661219871E-2</v>
      </c>
      <c r="G18" s="20">
        <f>'Data for Settlement &amp; 1st TU'!H16</f>
        <v>5002500</v>
      </c>
      <c r="H18" s="4">
        <f>+G18*B18</f>
        <v>385192.5</v>
      </c>
      <c r="I18" s="4">
        <f>+G18*C18</f>
        <v>159323.65875025242</v>
      </c>
      <c r="J18" s="4">
        <f>+G18*D18</f>
        <v>442017.75</v>
      </c>
      <c r="K18" s="4">
        <f>+H18-I18-J18</f>
        <v>-216148.90875025242</v>
      </c>
      <c r="M18" s="8"/>
      <c r="N18" s="8"/>
      <c r="O18" s="8"/>
      <c r="P18" s="28"/>
      <c r="Q18" s="28"/>
      <c r="R18" s="28"/>
      <c r="S18" s="28"/>
      <c r="T18" s="28"/>
      <c r="V18" s="8"/>
      <c r="W18" s="8"/>
      <c r="X18" s="8"/>
      <c r="Y18" s="28"/>
      <c r="AA18" s="29"/>
    </row>
    <row r="19" spans="1:27" x14ac:dyDescent="0.25">
      <c r="A19" s="52" t="s">
        <v>3</v>
      </c>
      <c r="B19" s="42">
        <f>+'Data for Settlement &amp; 1st TU'!I34</f>
        <v>8.8999999999999996E-2</v>
      </c>
      <c r="C19" s="42">
        <f>+'Data for Settlement &amp; 1st TU'!$G$43</f>
        <v>3.1848807346377295E-2</v>
      </c>
      <c r="D19" s="42">
        <f>+'Data for Settlement &amp; 1st TU'!$G$48</f>
        <v>8.8359370314842575E-2</v>
      </c>
      <c r="E19" s="42">
        <f t="shared" ref="E19:E22" si="7">+C19+D19</f>
        <v>0.12020817766121987</v>
      </c>
      <c r="F19" s="43">
        <f t="shared" ref="F19:F22" si="8">+B19-E19</f>
        <v>-3.1208177661219874E-2</v>
      </c>
      <c r="G19" s="20">
        <f>'Data for Settlement &amp; 1st TU'!H17</f>
        <v>7003500</v>
      </c>
      <c r="H19" s="4">
        <f t="shared" ref="H19:H22" si="9">+G19*B19</f>
        <v>623311.5</v>
      </c>
      <c r="I19" s="4">
        <f t="shared" ref="I19:I22" si="10">+G19*C19</f>
        <v>223053.12225035339</v>
      </c>
      <c r="J19" s="4">
        <f t="shared" ref="J19:J22" si="11">+G19*D19</f>
        <v>618824.85</v>
      </c>
      <c r="K19" s="4">
        <f t="shared" ref="K19:K22" si="12">+H19-I19-J19</f>
        <v>-218566.47225035337</v>
      </c>
      <c r="M19" s="8"/>
      <c r="N19" s="8"/>
      <c r="O19" s="8"/>
      <c r="P19" s="8"/>
      <c r="Q19" s="8"/>
      <c r="R19" s="8"/>
      <c r="V19" s="8"/>
      <c r="W19" s="8"/>
      <c r="X19" s="8"/>
      <c r="Y19" s="8"/>
      <c r="AA19" s="29"/>
    </row>
    <row r="20" spans="1:27" x14ac:dyDescent="0.25">
      <c r="A20" s="52" t="s">
        <v>4</v>
      </c>
      <c r="B20" s="42">
        <f>+'Data for Settlement &amp; 1st TU'!I35</f>
        <v>6.5000000000000002E-2</v>
      </c>
      <c r="C20" s="42">
        <f>+'Data for Settlement &amp; 1st TU'!$G$43</f>
        <v>3.1848807346377295E-2</v>
      </c>
      <c r="D20" s="42">
        <f>+'Data for Settlement &amp; 1st TU'!$G$48</f>
        <v>8.8359370314842575E-2</v>
      </c>
      <c r="E20" s="42">
        <f t="shared" si="7"/>
        <v>0.12020817766121987</v>
      </c>
      <c r="F20" s="43">
        <f t="shared" si="8"/>
        <v>-5.5208177661219868E-2</v>
      </c>
      <c r="G20" s="20">
        <f>'Data for Settlement &amp; 1st TU'!H18</f>
        <v>100050000</v>
      </c>
      <c r="H20" s="4">
        <f t="shared" si="9"/>
        <v>6503250</v>
      </c>
      <c r="I20" s="4">
        <f t="shared" si="10"/>
        <v>3186473.1750050485</v>
      </c>
      <c r="J20" s="4">
        <f t="shared" si="11"/>
        <v>8840355</v>
      </c>
      <c r="K20" s="4">
        <f t="shared" si="12"/>
        <v>-5523578.1750050485</v>
      </c>
      <c r="M20" s="30"/>
      <c r="N20" s="8"/>
      <c r="O20" s="8"/>
      <c r="P20" s="8"/>
      <c r="Q20" s="8"/>
      <c r="R20" s="8"/>
      <c r="V20" s="30"/>
      <c r="W20" s="8"/>
      <c r="X20" s="8"/>
      <c r="Y20" s="8"/>
    </row>
    <row r="21" spans="1:27" x14ac:dyDescent="0.25">
      <c r="A21" s="52" t="s">
        <v>6</v>
      </c>
      <c r="B21" s="42">
        <f>+'Data for Settlement &amp; 1st TU'!I36</f>
        <v>9.4E-2</v>
      </c>
      <c r="C21" s="42">
        <f>+'Data for Settlement &amp; 1st TU'!$G$43</f>
        <v>3.1848807346377295E-2</v>
      </c>
      <c r="D21" s="42">
        <f>+'Data for Settlement &amp; 1st TU'!$G$48</f>
        <v>8.8359370314842575E-2</v>
      </c>
      <c r="E21" s="42">
        <f t="shared" si="7"/>
        <v>0.12020817766121987</v>
      </c>
      <c r="F21" s="43">
        <f t="shared" si="8"/>
        <v>-2.620817766121987E-2</v>
      </c>
      <c r="G21" s="20">
        <f>'Data for Settlement &amp; 1st TU'!H19</f>
        <v>50025000</v>
      </c>
      <c r="H21" s="4">
        <f t="shared" si="9"/>
        <v>4702350</v>
      </c>
      <c r="I21" s="4">
        <f t="shared" si="10"/>
        <v>1593236.5875025243</v>
      </c>
      <c r="J21" s="4">
        <f t="shared" si="11"/>
        <v>4420177.5</v>
      </c>
      <c r="K21" s="4">
        <f t="shared" si="12"/>
        <v>-1311064.0875025243</v>
      </c>
      <c r="M21" s="8"/>
      <c r="N21" s="8"/>
      <c r="O21" s="8"/>
      <c r="P21" s="34"/>
      <c r="Q21" s="34"/>
      <c r="R21" s="34"/>
      <c r="S21" s="5"/>
      <c r="T21" s="5"/>
      <c r="V21" s="8"/>
      <c r="W21" s="8"/>
      <c r="X21" s="8"/>
      <c r="Y21" s="34"/>
    </row>
    <row r="22" spans="1:27" x14ac:dyDescent="0.25">
      <c r="A22" s="53" t="s">
        <v>5</v>
      </c>
      <c r="B22" s="55">
        <f>+'Data for Settlement &amp; 1st TU'!I37</f>
        <v>0.13200000000000001</v>
      </c>
      <c r="C22" s="55">
        <f>+'Data for Settlement &amp; 1st TU'!$G$43</f>
        <v>3.1848807346377295E-2</v>
      </c>
      <c r="D22" s="55">
        <f>+'Data for Settlement &amp; 1st TU'!$G$48</f>
        <v>8.8359370314842575E-2</v>
      </c>
      <c r="E22" s="55">
        <f t="shared" si="7"/>
        <v>0.12020817766121987</v>
      </c>
      <c r="F22" s="56">
        <f t="shared" si="8"/>
        <v>1.1791822338780136E-2</v>
      </c>
      <c r="G22" s="20">
        <f>'Data for Settlement &amp; 1st TU'!H20</f>
        <v>63031500.000000007</v>
      </c>
      <c r="H22" s="4">
        <f t="shared" si="9"/>
        <v>8320158.0000000009</v>
      </c>
      <c r="I22" s="4">
        <f t="shared" si="10"/>
        <v>2007478.1002531806</v>
      </c>
      <c r="J22" s="4">
        <f t="shared" si="11"/>
        <v>5569423.6500000004</v>
      </c>
      <c r="K22" s="4">
        <f t="shared" si="12"/>
        <v>743256.24974681996</v>
      </c>
      <c r="M22" s="8"/>
      <c r="N22" s="8"/>
      <c r="O22" s="8"/>
      <c r="P22" s="34"/>
      <c r="Q22" s="34"/>
      <c r="R22" s="34"/>
      <c r="S22" s="5"/>
      <c r="T22" s="5"/>
      <c r="V22" s="8"/>
      <c r="W22" s="8"/>
      <c r="X22" s="8"/>
      <c r="Y22" s="34"/>
    </row>
    <row r="23" spans="1:27" ht="15.75" thickBot="1" x14ac:dyDescent="0.3">
      <c r="B23" s="124">
        <f>+H23/G23</f>
        <v>9.1217777777777773E-2</v>
      </c>
      <c r="G23" s="18">
        <f>SUM(G18:G22)</f>
        <v>225112500</v>
      </c>
      <c r="H23" s="61">
        <f t="shared" ref="H23:J23" si="13">SUM(H18:H22)</f>
        <v>20534262</v>
      </c>
      <c r="I23" s="24">
        <f t="shared" si="13"/>
        <v>7169564.6437613592</v>
      </c>
      <c r="J23" s="24">
        <f t="shared" si="13"/>
        <v>19890798.75</v>
      </c>
      <c r="K23" s="24">
        <f>SUM(K18:K22)</f>
        <v>-6526101.3937613582</v>
      </c>
      <c r="M23" s="8"/>
      <c r="N23" s="8"/>
      <c r="O23" s="8"/>
      <c r="P23" s="28"/>
      <c r="Q23" s="28"/>
      <c r="R23" s="28"/>
      <c r="S23" s="28"/>
      <c r="T23" s="28"/>
      <c r="V23" s="8"/>
      <c r="W23" s="8"/>
      <c r="X23" s="8"/>
      <c r="Y23" s="28"/>
    </row>
    <row r="24" spans="1:27" x14ac:dyDescent="0.25">
      <c r="A24" s="8"/>
      <c r="B24" s="8"/>
      <c r="C24" s="8"/>
      <c r="D24" s="8"/>
      <c r="E24" s="8"/>
      <c r="J24" s="1"/>
      <c r="M24" s="8"/>
      <c r="N24" s="8"/>
      <c r="O24" s="8"/>
      <c r="P24" s="8"/>
      <c r="Q24" s="8"/>
      <c r="R24" s="8"/>
      <c r="V24" s="8"/>
      <c r="W24" s="8"/>
      <c r="X24" s="8"/>
      <c r="Y24" s="8"/>
    </row>
    <row r="25" spans="1:27" ht="18.75" x14ac:dyDescent="0.3">
      <c r="A25" s="25" t="s">
        <v>144</v>
      </c>
      <c r="M25" s="8"/>
      <c r="N25" s="8"/>
      <c r="O25" s="8"/>
      <c r="P25" s="8"/>
      <c r="Q25" s="8"/>
      <c r="R25" s="8"/>
      <c r="V25" s="8"/>
      <c r="W25" s="8"/>
      <c r="X25" s="8"/>
      <c r="Y25" s="8"/>
    </row>
    <row r="26" spans="1:27" ht="18.75" x14ac:dyDescent="0.3">
      <c r="A26" s="25"/>
      <c r="M26" s="8"/>
      <c r="N26" s="8"/>
      <c r="O26" s="8"/>
      <c r="P26" s="8"/>
      <c r="Q26" s="8"/>
      <c r="R26" s="8"/>
      <c r="V26" s="8"/>
      <c r="W26" s="8"/>
      <c r="X26" s="8"/>
      <c r="Y26" s="8"/>
    </row>
    <row r="27" spans="1:27" x14ac:dyDescent="0.25">
      <c r="A27" s="11" t="s">
        <v>128</v>
      </c>
      <c r="M27" s="8"/>
      <c r="N27" s="8"/>
      <c r="O27" s="8"/>
      <c r="P27" s="8"/>
      <c r="Q27" s="8"/>
      <c r="R27" s="8"/>
      <c r="V27" s="8"/>
      <c r="W27" s="8"/>
      <c r="X27" s="8"/>
      <c r="Y27" s="8"/>
    </row>
    <row r="28" spans="1:27" ht="45" x14ac:dyDescent="0.25">
      <c r="A28" s="75" t="s">
        <v>60</v>
      </c>
      <c r="B28" s="46" t="s">
        <v>19</v>
      </c>
      <c r="C28" s="47" t="s">
        <v>77</v>
      </c>
      <c r="D28" s="47" t="s">
        <v>58</v>
      </c>
      <c r="E28" s="47" t="s">
        <v>30</v>
      </c>
      <c r="F28" s="46" t="s">
        <v>10</v>
      </c>
      <c r="G28" s="46" t="s">
        <v>17</v>
      </c>
      <c r="H28" s="47" t="s">
        <v>83</v>
      </c>
      <c r="I28" s="47" t="s">
        <v>84</v>
      </c>
      <c r="J28" s="47" t="s">
        <v>85</v>
      </c>
      <c r="K28" s="47" t="s">
        <v>186</v>
      </c>
    </row>
    <row r="29" spans="1:27" x14ac:dyDescent="0.25">
      <c r="A29" s="48" t="s">
        <v>2</v>
      </c>
      <c r="B29" s="49">
        <f>+B7-B18</f>
        <v>0</v>
      </c>
      <c r="C29" s="50">
        <f t="shared" ref="C29:D29" si="14">+C7-C18</f>
        <v>-3.4880734637729449E-4</v>
      </c>
      <c r="D29" s="50">
        <f t="shared" si="14"/>
        <v>-9.6593703148425691E-3</v>
      </c>
      <c r="E29" s="50">
        <f t="shared" ref="E29:G33" si="15">+E7-E18</f>
        <v>-1.0008177661219864E-2</v>
      </c>
      <c r="F29" s="51">
        <f t="shared" si="15"/>
        <v>1.0008177661219864E-2</v>
      </c>
      <c r="G29" s="20">
        <f t="shared" si="15"/>
        <v>-2500</v>
      </c>
      <c r="H29" s="4">
        <f>+H18-H7</f>
        <v>192.5</v>
      </c>
      <c r="I29" s="4">
        <f t="shared" ref="I29:J29" si="16">+I18-I7</f>
        <v>1823.6587502524198</v>
      </c>
      <c r="J29" s="4">
        <f t="shared" si="16"/>
        <v>48517.749999999942</v>
      </c>
      <c r="K29" s="4">
        <f>+H29-I29-J29</f>
        <v>-50148.908750252362</v>
      </c>
      <c r="M29" s="5"/>
      <c r="N29" s="39"/>
    </row>
    <row r="30" spans="1:27" x14ac:dyDescent="0.25">
      <c r="A30" s="52" t="s">
        <v>3</v>
      </c>
      <c r="B30" s="37">
        <f>+B8-B19</f>
        <v>0</v>
      </c>
      <c r="C30" s="42">
        <f t="shared" ref="C30:D33" si="17">+C8-C19</f>
        <v>-3.4880734637729449E-4</v>
      </c>
      <c r="D30" s="42">
        <f t="shared" si="17"/>
        <v>-9.6593703148425691E-3</v>
      </c>
      <c r="E30" s="42">
        <f t="shared" si="15"/>
        <v>-1.0008177661219864E-2</v>
      </c>
      <c r="F30" s="43">
        <f t="shared" si="15"/>
        <v>1.0008177661219864E-2</v>
      </c>
      <c r="G30" s="20">
        <f t="shared" si="15"/>
        <v>-3500</v>
      </c>
      <c r="H30" s="4">
        <f>+H19-H8</f>
        <v>311.5</v>
      </c>
      <c r="I30" s="4">
        <f t="shared" ref="I30:J33" si="18">+I19-I8</f>
        <v>2553.1222503533936</v>
      </c>
      <c r="J30" s="4">
        <f t="shared" si="18"/>
        <v>67924.849999999977</v>
      </c>
      <c r="K30" s="4">
        <f t="shared" ref="K30:K33" si="19">+H30-I30-J30</f>
        <v>-70166.47225035337</v>
      </c>
      <c r="M30" s="5"/>
      <c r="N30" s="39"/>
    </row>
    <row r="31" spans="1:27" x14ac:dyDescent="0.25">
      <c r="A31" s="52" t="s">
        <v>4</v>
      </c>
      <c r="B31" s="37">
        <f>+B9-B20</f>
        <v>0</v>
      </c>
      <c r="C31" s="42">
        <f t="shared" si="17"/>
        <v>-3.4880734637729449E-4</v>
      </c>
      <c r="D31" s="42">
        <f t="shared" si="17"/>
        <v>-9.6593703148425691E-3</v>
      </c>
      <c r="E31" s="42">
        <f t="shared" si="15"/>
        <v>-1.0008177661219864E-2</v>
      </c>
      <c r="F31" s="43">
        <f t="shared" si="15"/>
        <v>1.0008177661219864E-2</v>
      </c>
      <c r="G31" s="20">
        <f t="shared" si="15"/>
        <v>-50000</v>
      </c>
      <c r="H31" s="4">
        <f>+H20-H9</f>
        <v>3250</v>
      </c>
      <c r="I31" s="4">
        <f t="shared" si="18"/>
        <v>36473.175005048513</v>
      </c>
      <c r="J31" s="4">
        <f t="shared" si="18"/>
        <v>970354.99999999907</v>
      </c>
      <c r="K31" s="4">
        <f t="shared" si="19"/>
        <v>-1003578.1750050476</v>
      </c>
      <c r="M31" s="5"/>
      <c r="N31" s="39"/>
    </row>
    <row r="32" spans="1:27" x14ac:dyDescent="0.25">
      <c r="A32" s="52" t="s">
        <v>6</v>
      </c>
      <c r="B32" s="37">
        <f>+B10-B21</f>
        <v>0</v>
      </c>
      <c r="C32" s="42">
        <f t="shared" si="17"/>
        <v>-3.4880734637729449E-4</v>
      </c>
      <c r="D32" s="42">
        <f t="shared" si="17"/>
        <v>-9.6593703148425691E-3</v>
      </c>
      <c r="E32" s="42">
        <f t="shared" si="15"/>
        <v>-1.0008177661219864E-2</v>
      </c>
      <c r="F32" s="43">
        <f t="shared" si="15"/>
        <v>1.0008177661219864E-2</v>
      </c>
      <c r="G32" s="20">
        <f t="shared" si="15"/>
        <v>-25000</v>
      </c>
      <c r="H32" s="4">
        <f>+H21-H10</f>
        <v>2350</v>
      </c>
      <c r="I32" s="4">
        <f t="shared" si="18"/>
        <v>18236.587502524257</v>
      </c>
      <c r="J32" s="4">
        <f t="shared" si="18"/>
        <v>485177.49999999953</v>
      </c>
      <c r="K32" s="4">
        <f t="shared" si="19"/>
        <v>-501064.08750252379</v>
      </c>
      <c r="M32" s="5"/>
      <c r="N32" s="39"/>
    </row>
    <row r="33" spans="1:14" x14ac:dyDescent="0.25">
      <c r="A33" s="53" t="s">
        <v>5</v>
      </c>
      <c r="B33" s="54">
        <f>+B11-B22</f>
        <v>0</v>
      </c>
      <c r="C33" s="55">
        <f t="shared" si="17"/>
        <v>-3.4880734637729449E-4</v>
      </c>
      <c r="D33" s="55">
        <f t="shared" si="17"/>
        <v>-9.6593703148425691E-3</v>
      </c>
      <c r="E33" s="55">
        <f t="shared" si="15"/>
        <v>-1.0008177661219864E-2</v>
      </c>
      <c r="F33" s="56">
        <f t="shared" si="15"/>
        <v>1.0008177661219864E-2</v>
      </c>
      <c r="G33" s="20">
        <f t="shared" si="15"/>
        <v>-31500</v>
      </c>
      <c r="H33" s="4">
        <f>+H22-H11</f>
        <v>4158</v>
      </c>
      <c r="I33" s="4">
        <f t="shared" si="18"/>
        <v>22978.100253180368</v>
      </c>
      <c r="J33" s="4">
        <f t="shared" si="18"/>
        <v>611323.64999999944</v>
      </c>
      <c r="K33" s="4">
        <f t="shared" si="19"/>
        <v>-630143.75025317981</v>
      </c>
      <c r="M33" s="5"/>
      <c r="N33" s="39"/>
    </row>
    <row r="34" spans="1:14" ht="15.75" thickBot="1" x14ac:dyDescent="0.3">
      <c r="B34" s="3"/>
      <c r="G34" s="18">
        <f>SUM(G29:G33)</f>
        <v>-112500</v>
      </c>
      <c r="H34" s="24">
        <f t="shared" ref="H34:J34" si="20">SUM(H29:H33)</f>
        <v>10262</v>
      </c>
      <c r="I34" s="24">
        <f t="shared" si="20"/>
        <v>82064.643761358951</v>
      </c>
      <c r="J34" s="24">
        <f t="shared" si="20"/>
        <v>2183298.7499999981</v>
      </c>
      <c r="K34" s="24">
        <f>SUM(K29:K33)</f>
        <v>-2255101.3937613568</v>
      </c>
    </row>
    <row r="35" spans="1:14" ht="15.75" thickTop="1" x14ac:dyDescent="0.25"/>
    <row r="36" spans="1:14" ht="17.25" x14ac:dyDescent="0.25">
      <c r="A36" t="s">
        <v>339</v>
      </c>
      <c r="K36" s="28"/>
    </row>
    <row r="37" spans="1:14" x14ac:dyDescent="0.25">
      <c r="K37" s="5"/>
    </row>
  </sheetData>
  <pageMargins left="0.7" right="0.7" top="0.75" bottom="0.75" header="0.3" footer="0.3"/>
  <pageSetup paperSize="5"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4"/>
  <sheetViews>
    <sheetView showGridLines="0" topLeftCell="B42" zoomScaleNormal="100" workbookViewId="0">
      <selection activeCell="F40" sqref="F40:I61"/>
    </sheetView>
  </sheetViews>
  <sheetFormatPr defaultRowHeight="15" x14ac:dyDescent="0.25"/>
  <cols>
    <col min="1" max="1" width="69.7109375" customWidth="1"/>
    <col min="2" max="2" width="13.28515625" bestFit="1" customWidth="1"/>
    <col min="3" max="3" width="15.7109375" customWidth="1"/>
    <col min="4" max="4" width="14.85546875" customWidth="1"/>
    <col min="5" max="5" width="6.28515625" customWidth="1"/>
    <col min="6" max="6" width="69.28515625" customWidth="1"/>
    <col min="7" max="7" width="12.28515625" customWidth="1"/>
    <col min="8" max="8" width="15" bestFit="1" customWidth="1"/>
    <col min="9" max="9" width="14.85546875" customWidth="1"/>
    <col min="10" max="10" width="6.140625" customWidth="1"/>
    <col min="11" max="11" width="13.7109375" customWidth="1"/>
    <col min="12" max="12" width="13.28515625" customWidth="1"/>
    <col min="13" max="13" width="14.85546875" customWidth="1"/>
    <col min="14" max="14" width="13.28515625" bestFit="1" customWidth="1"/>
    <col min="15" max="15" width="13.85546875" bestFit="1" customWidth="1"/>
    <col min="16" max="16" width="15" bestFit="1" customWidth="1"/>
    <col min="17" max="17" width="8.5703125" bestFit="1" customWidth="1"/>
    <col min="18" max="21" width="14.85546875" customWidth="1"/>
    <col min="22" max="22" width="13.140625" customWidth="1"/>
    <col min="23" max="23" width="13.42578125" customWidth="1"/>
    <col min="24" max="24" width="12.42578125" customWidth="1"/>
    <col min="25" max="25" width="13.28515625" customWidth="1"/>
    <col min="26" max="26" width="12.7109375" customWidth="1"/>
    <col min="27" max="27" width="9.140625" customWidth="1"/>
  </cols>
  <sheetData>
    <row r="1" spans="1:20" ht="18.75" x14ac:dyDescent="0.3">
      <c r="A1" s="25" t="s">
        <v>141</v>
      </c>
      <c r="F1" s="25" t="s">
        <v>142</v>
      </c>
      <c r="K1" s="25" t="s">
        <v>288</v>
      </c>
    </row>
    <row r="3" spans="1:20" x14ac:dyDescent="0.25">
      <c r="A3" s="11" t="s">
        <v>277</v>
      </c>
      <c r="F3" s="11" t="s">
        <v>137</v>
      </c>
      <c r="K3" s="8"/>
      <c r="L3" s="8"/>
      <c r="M3" s="8"/>
      <c r="N3" s="8"/>
      <c r="O3" s="8"/>
      <c r="P3" s="8"/>
      <c r="Q3" s="8"/>
      <c r="R3" s="8"/>
      <c r="S3" s="8"/>
      <c r="T3" s="8"/>
    </row>
    <row r="4" spans="1:20" ht="30" x14ac:dyDescent="0.25">
      <c r="A4" s="11"/>
      <c r="B4" s="59" t="s">
        <v>108</v>
      </c>
      <c r="C4" s="115" t="s">
        <v>100</v>
      </c>
      <c r="D4" s="115" t="s">
        <v>101</v>
      </c>
      <c r="F4" s="11"/>
      <c r="G4" s="59" t="s">
        <v>108</v>
      </c>
      <c r="H4" s="115" t="s">
        <v>100</v>
      </c>
      <c r="I4" s="115" t="s">
        <v>101</v>
      </c>
      <c r="K4" s="8"/>
      <c r="L4" s="8"/>
      <c r="M4" s="8"/>
      <c r="N4" s="8"/>
      <c r="O4" s="8"/>
      <c r="P4" s="8"/>
      <c r="Q4" s="8"/>
      <c r="R4" s="8"/>
      <c r="S4" s="8"/>
      <c r="T4" s="8"/>
    </row>
    <row r="5" spans="1:20" ht="18.75" x14ac:dyDescent="0.3">
      <c r="A5" s="17" t="s">
        <v>245</v>
      </c>
      <c r="C5" s="9">
        <f>+'Data for Settlement &amp; 1st TU'!H5</f>
        <v>527250000</v>
      </c>
      <c r="D5" s="9">
        <f>+C5</f>
        <v>527250000</v>
      </c>
      <c r="F5" s="17" t="s">
        <v>245</v>
      </c>
      <c r="H5" s="1">
        <f>+C5</f>
        <v>527250000</v>
      </c>
      <c r="I5" s="6">
        <f>+H5</f>
        <v>527250000</v>
      </c>
      <c r="K5" s="40"/>
      <c r="L5" s="8"/>
      <c r="M5" s="8"/>
      <c r="N5" s="8"/>
      <c r="O5" s="34"/>
      <c r="P5" s="8"/>
      <c r="Q5" s="8"/>
      <c r="R5" s="8"/>
      <c r="S5" s="8"/>
      <c r="T5" s="8"/>
    </row>
    <row r="6" spans="1:20" x14ac:dyDescent="0.25">
      <c r="A6" s="17" t="s">
        <v>244</v>
      </c>
      <c r="C6" s="9">
        <f>+'Data for Settlement &amp; 1st TU'!H6</f>
        <v>8000000</v>
      </c>
      <c r="D6" s="9">
        <f>+C6</f>
        <v>8000000</v>
      </c>
      <c r="F6" s="17" t="s">
        <v>244</v>
      </c>
      <c r="H6" s="9">
        <f>+C6</f>
        <v>8000000</v>
      </c>
      <c r="I6" s="6">
        <f>+H6</f>
        <v>8000000</v>
      </c>
      <c r="K6" s="77"/>
      <c r="L6" s="8"/>
      <c r="M6" s="8"/>
      <c r="N6" s="8"/>
      <c r="O6" s="8"/>
      <c r="P6" s="8"/>
      <c r="Q6" s="8"/>
      <c r="R6" s="8"/>
      <c r="S6" s="8"/>
      <c r="T6" s="8"/>
    </row>
    <row r="7" spans="1:20" x14ac:dyDescent="0.25">
      <c r="A7" s="17" t="s">
        <v>103</v>
      </c>
      <c r="C7" s="9">
        <f>+'Data for Settlement &amp; 1st TU'!H7</f>
        <v>-35000000</v>
      </c>
      <c r="D7" s="9"/>
      <c r="F7" s="17" t="s">
        <v>103</v>
      </c>
      <c r="H7" s="9">
        <f>+C7</f>
        <v>-35000000</v>
      </c>
      <c r="K7" s="77"/>
      <c r="L7" s="8"/>
      <c r="M7" s="8"/>
      <c r="N7" s="8"/>
      <c r="O7" s="8"/>
      <c r="P7" s="8"/>
      <c r="Q7" s="8"/>
      <c r="R7" s="8"/>
      <c r="S7" s="8"/>
      <c r="T7" s="8"/>
    </row>
    <row r="8" spans="1:20" x14ac:dyDescent="0.25">
      <c r="A8" s="17"/>
      <c r="C8" s="80">
        <f>SUM(C5:C7)</f>
        <v>500250000</v>
      </c>
      <c r="D8" s="80">
        <f>SUM(D5:D7)</f>
        <v>535250000</v>
      </c>
      <c r="F8" s="17"/>
      <c r="H8" s="80">
        <f>SUM(H5:H7)</f>
        <v>500250000</v>
      </c>
      <c r="I8" s="80">
        <f>SUM(I5:I7)</f>
        <v>535250000</v>
      </c>
      <c r="K8" s="8"/>
      <c r="L8" s="8"/>
      <c r="M8" s="438"/>
      <c r="N8" s="438"/>
      <c r="O8" s="438"/>
      <c r="P8" s="438"/>
      <c r="Q8" s="439"/>
      <c r="R8" s="439"/>
      <c r="S8" s="8"/>
      <c r="T8" s="8"/>
    </row>
    <row r="9" spans="1:20" x14ac:dyDescent="0.25">
      <c r="A9" s="17"/>
      <c r="C9" s="9"/>
      <c r="F9" s="17"/>
      <c r="H9" s="1"/>
      <c r="K9" s="8"/>
      <c r="L9" s="35"/>
      <c r="M9" s="57"/>
      <c r="N9" s="35"/>
      <c r="O9" s="36"/>
      <c r="P9" s="57"/>
      <c r="Q9" s="35"/>
      <c r="R9" s="36"/>
      <c r="S9" s="36"/>
      <c r="T9" s="8"/>
    </row>
    <row r="10" spans="1:20" x14ac:dyDescent="0.25">
      <c r="A10" t="s">
        <v>35</v>
      </c>
      <c r="B10" s="2">
        <f>+B27</f>
        <v>0.45</v>
      </c>
      <c r="C10" s="1">
        <f>+C8*B10</f>
        <v>225112500</v>
      </c>
      <c r="D10" s="6">
        <f>C10</f>
        <v>225112500</v>
      </c>
      <c r="F10" t="s">
        <v>33</v>
      </c>
      <c r="G10" s="13">
        <f>+G27</f>
        <v>0.42713216957605987</v>
      </c>
      <c r="H10" s="1">
        <f>+H8*G10</f>
        <v>213672867.83042395</v>
      </c>
      <c r="I10" s="6">
        <f>+H10</f>
        <v>213672867.83042395</v>
      </c>
      <c r="K10" s="137"/>
      <c r="L10" s="32"/>
      <c r="M10" s="33"/>
      <c r="N10" s="28"/>
      <c r="O10" s="82"/>
      <c r="P10" s="33"/>
      <c r="Q10" s="82"/>
      <c r="R10" s="28"/>
      <c r="S10" s="28"/>
      <c r="T10" s="8"/>
    </row>
    <row r="11" spans="1:20" x14ac:dyDescent="0.25">
      <c r="A11" t="s">
        <v>36</v>
      </c>
      <c r="B11" s="2">
        <f>+B28</f>
        <v>0.55000000000000004</v>
      </c>
      <c r="C11" s="1">
        <f>+C8*B11</f>
        <v>275137500</v>
      </c>
      <c r="D11" s="6">
        <f>+C11-C7</f>
        <v>310137500</v>
      </c>
      <c r="F11" t="s">
        <v>37</v>
      </c>
      <c r="G11" s="13">
        <f>+G28</f>
        <v>0.57286783042394018</v>
      </c>
      <c r="H11" s="1">
        <f>+H8*G11</f>
        <v>286577132.16957605</v>
      </c>
      <c r="I11" s="6">
        <f>+H11-H7</f>
        <v>321577132.16957605</v>
      </c>
      <c r="J11" s="12"/>
      <c r="K11" s="137"/>
      <c r="L11" s="32"/>
      <c r="M11" s="33"/>
      <c r="N11" s="28"/>
      <c r="O11" s="82"/>
      <c r="P11" s="33"/>
      <c r="Q11" s="82"/>
      <c r="R11" s="28"/>
      <c r="S11" s="28"/>
      <c r="T11" s="8"/>
    </row>
    <row r="12" spans="1:20" ht="15.75" thickBot="1" x14ac:dyDescent="0.3">
      <c r="A12" t="s">
        <v>16</v>
      </c>
      <c r="B12" s="19">
        <f>+B10+B11</f>
        <v>1</v>
      </c>
      <c r="C12" s="18">
        <f>+C10+C11</f>
        <v>500250000</v>
      </c>
      <c r="D12" s="18">
        <f>+D10+D11</f>
        <v>535250000</v>
      </c>
      <c r="F12" t="s">
        <v>16</v>
      </c>
      <c r="G12" s="19">
        <f>+G10+G11</f>
        <v>1</v>
      </c>
      <c r="H12" s="18">
        <f>+H10+H11</f>
        <v>500250000</v>
      </c>
      <c r="I12" s="18">
        <f>+I10+I11</f>
        <v>535250000</v>
      </c>
      <c r="K12" s="8"/>
      <c r="L12" s="35"/>
      <c r="M12" s="33"/>
      <c r="N12" s="28"/>
      <c r="O12" s="82"/>
      <c r="P12" s="33"/>
      <c r="Q12" s="82"/>
      <c r="R12" s="28"/>
      <c r="S12" s="28"/>
      <c r="T12" s="8"/>
    </row>
    <row r="13" spans="1:20" ht="15.75" thickTop="1" x14ac:dyDescent="0.25">
      <c r="K13" s="8"/>
      <c r="L13" s="8"/>
      <c r="M13" s="8"/>
      <c r="N13" s="8"/>
      <c r="O13" s="8"/>
      <c r="P13" s="8"/>
      <c r="Q13" s="8"/>
      <c r="R13" s="8"/>
      <c r="S13" s="8"/>
      <c r="T13" s="8"/>
    </row>
    <row r="14" spans="1:20" x14ac:dyDescent="0.25">
      <c r="A14" s="26" t="s">
        <v>257</v>
      </c>
      <c r="F14" s="26" t="s">
        <v>269</v>
      </c>
      <c r="K14" s="8"/>
      <c r="L14" s="32"/>
      <c r="M14" s="33"/>
      <c r="N14" s="28"/>
      <c r="O14" s="82"/>
      <c r="P14" s="33"/>
      <c r="Q14" s="82"/>
      <c r="R14" s="28"/>
      <c r="S14" s="28"/>
      <c r="T14" s="8"/>
    </row>
    <row r="15" spans="1:20" x14ac:dyDescent="0.25">
      <c r="A15" s="26"/>
      <c r="B15" s="113" t="s">
        <v>11</v>
      </c>
      <c r="C15" s="113" t="s">
        <v>17</v>
      </c>
      <c r="D15" s="59"/>
      <c r="F15" s="26"/>
      <c r="G15" s="113" t="s">
        <v>12</v>
      </c>
      <c r="H15" s="113" t="s">
        <v>17</v>
      </c>
      <c r="I15" s="59"/>
      <c r="L15" s="10"/>
      <c r="M15" s="6"/>
      <c r="N15" s="4"/>
      <c r="O15" s="2"/>
      <c r="P15" s="6"/>
      <c r="Q15" s="2"/>
      <c r="R15" s="4"/>
      <c r="S15" s="4"/>
    </row>
    <row r="16" spans="1:20" x14ac:dyDescent="0.25">
      <c r="A16" t="s">
        <v>2</v>
      </c>
      <c r="B16" s="13">
        <f>B33</f>
        <v>2.2222222222222223E-2</v>
      </c>
      <c r="C16" s="373">
        <f>+B16*$C$10</f>
        <v>5002500</v>
      </c>
      <c r="D16" s="70"/>
      <c r="F16" t="s">
        <v>2</v>
      </c>
      <c r="G16" s="13">
        <f>G33</f>
        <v>2.0738938313467473E-2</v>
      </c>
      <c r="H16" s="373">
        <f>+G16*$H$10</f>
        <v>4431348.4251968507</v>
      </c>
      <c r="I16" s="22"/>
      <c r="L16" s="10"/>
      <c r="M16" s="6"/>
      <c r="N16" s="4"/>
      <c r="O16" s="2"/>
      <c r="P16" s="6"/>
      <c r="Q16" s="2"/>
      <c r="R16" s="4"/>
      <c r="S16" s="4"/>
    </row>
    <row r="17" spans="1:19" x14ac:dyDescent="0.25">
      <c r="A17" t="s">
        <v>3</v>
      </c>
      <c r="B17" s="13">
        <f t="shared" ref="B17:B20" si="0">B34</f>
        <v>3.111111111111111E-2</v>
      </c>
      <c r="C17" s="373">
        <f t="shared" ref="C17:C20" si="1">+B17*$C$10</f>
        <v>7003500</v>
      </c>
      <c r="D17" s="70"/>
      <c r="F17" t="s">
        <v>3</v>
      </c>
      <c r="G17" s="13">
        <f t="shared" ref="G17:G20" si="2">G34</f>
        <v>3.8251819555951118E-2</v>
      </c>
      <c r="H17" s="373">
        <f t="shared" ref="H17:H20" si="3">+G17*$H$10</f>
        <v>8173375.9842519695</v>
      </c>
      <c r="I17" s="22"/>
      <c r="L17" s="10"/>
      <c r="M17" s="6"/>
      <c r="N17" s="4"/>
      <c r="O17" s="2"/>
      <c r="P17" s="6"/>
      <c r="Q17" s="2"/>
      <c r="R17" s="4"/>
      <c r="S17" s="4"/>
    </row>
    <row r="18" spans="1:19" x14ac:dyDescent="0.25">
      <c r="A18" t="s">
        <v>4</v>
      </c>
      <c r="B18" s="13">
        <f t="shared" si="0"/>
        <v>0.44444444444444442</v>
      </c>
      <c r="C18" s="373">
        <f t="shared" si="1"/>
        <v>100050000</v>
      </c>
      <c r="D18" s="70"/>
      <c r="F18" t="s">
        <v>4</v>
      </c>
      <c r="G18" s="13">
        <f t="shared" si="2"/>
        <v>0.41009242130581408</v>
      </c>
      <c r="H18" s="373">
        <f t="shared" si="3"/>
        <v>87625623.735935748</v>
      </c>
      <c r="I18" s="22"/>
      <c r="L18" s="10"/>
      <c r="M18" s="6"/>
      <c r="N18" s="4"/>
      <c r="O18" s="2"/>
      <c r="P18" s="6"/>
      <c r="Q18" s="2"/>
      <c r="R18" s="4"/>
      <c r="S18" s="4"/>
    </row>
    <row r="19" spans="1:19" x14ac:dyDescent="0.25">
      <c r="A19" t="s">
        <v>6</v>
      </c>
      <c r="B19" s="13">
        <f t="shared" si="0"/>
        <v>0.22222222222222221</v>
      </c>
      <c r="C19" s="373">
        <f t="shared" si="1"/>
        <v>50025000</v>
      </c>
      <c r="D19" s="70"/>
      <c r="F19" t="s">
        <v>6</v>
      </c>
      <c r="G19" s="13">
        <f t="shared" si="2"/>
        <v>0.2488672597616097</v>
      </c>
      <c r="H19" s="373">
        <f t="shared" si="3"/>
        <v>53176181.102362216</v>
      </c>
      <c r="I19" s="22"/>
      <c r="L19" s="10"/>
      <c r="M19" s="6"/>
      <c r="N19" s="4"/>
      <c r="O19" s="2"/>
      <c r="P19" s="6"/>
      <c r="Q19" s="2"/>
      <c r="R19" s="4"/>
      <c r="S19" s="4"/>
    </row>
    <row r="20" spans="1:19" x14ac:dyDescent="0.25">
      <c r="A20" t="s">
        <v>5</v>
      </c>
      <c r="B20" s="13">
        <f t="shared" si="0"/>
        <v>0.28000000000000003</v>
      </c>
      <c r="C20" s="373">
        <f t="shared" si="1"/>
        <v>63031500.000000007</v>
      </c>
      <c r="D20" s="70"/>
      <c r="F20" t="s">
        <v>5</v>
      </c>
      <c r="G20" s="13">
        <f t="shared" si="2"/>
        <v>0.28204956106315765</v>
      </c>
      <c r="H20" s="373">
        <f t="shared" si="3"/>
        <v>60266338.582677171</v>
      </c>
      <c r="I20" s="22"/>
      <c r="L20" s="10"/>
      <c r="M20" s="6"/>
      <c r="N20" s="4"/>
      <c r="O20" s="2"/>
      <c r="P20" s="6"/>
      <c r="Q20" s="2"/>
      <c r="R20" s="4"/>
      <c r="S20" s="4"/>
    </row>
    <row r="21" spans="1:19" ht="15.75" thickBot="1" x14ac:dyDescent="0.3">
      <c r="B21" s="19">
        <f>SUM(B16:B20)</f>
        <v>1</v>
      </c>
      <c r="C21" s="18">
        <f>SUM(C16:C20)</f>
        <v>225112500</v>
      </c>
      <c r="G21" s="19">
        <f>SUM(G16:G20)</f>
        <v>1</v>
      </c>
      <c r="H21" s="18">
        <f>SUM(H16:H20)</f>
        <v>213672867.83042395</v>
      </c>
      <c r="L21" s="10"/>
      <c r="M21" s="6"/>
      <c r="N21" s="4"/>
      <c r="O21" s="2"/>
      <c r="P21" s="6"/>
      <c r="Q21" s="2"/>
      <c r="R21" s="4"/>
      <c r="S21" s="4"/>
    </row>
    <row r="22" spans="1:19" ht="15.75" thickTop="1" x14ac:dyDescent="0.25">
      <c r="L22" s="10"/>
      <c r="M22" s="6"/>
      <c r="N22" s="4"/>
      <c r="O22" s="2"/>
      <c r="P22" s="6"/>
      <c r="Q22" s="2"/>
      <c r="R22" s="4"/>
      <c r="S22" s="4"/>
    </row>
    <row r="23" spans="1:19" x14ac:dyDescent="0.25">
      <c r="A23" s="26" t="s">
        <v>117</v>
      </c>
      <c r="F23" s="26" t="s">
        <v>270</v>
      </c>
    </row>
    <row r="24" spans="1:19" ht="30.75" customHeight="1" x14ac:dyDescent="0.25">
      <c r="A24" s="26"/>
      <c r="B24" s="59" t="s">
        <v>108</v>
      </c>
      <c r="C24" s="115" t="s">
        <v>100</v>
      </c>
      <c r="D24" s="115" t="s">
        <v>101</v>
      </c>
      <c r="F24" s="26"/>
      <c r="G24" s="59" t="s">
        <v>108</v>
      </c>
      <c r="H24" s="115" t="s">
        <v>100</v>
      </c>
      <c r="I24" s="115" t="s">
        <v>101</v>
      </c>
    </row>
    <row r="25" spans="1:19" x14ac:dyDescent="0.25">
      <c r="A25" s="17" t="s">
        <v>109</v>
      </c>
      <c r="C25" s="1">
        <f>+'Data for Settlement &amp; 1st TU'!H25</f>
        <v>500000000</v>
      </c>
      <c r="D25" s="6">
        <f>+D29</f>
        <v>535000000</v>
      </c>
      <c r="F25" s="17" t="s">
        <v>34</v>
      </c>
      <c r="H25" s="69">
        <f>+H29</f>
        <v>501250000</v>
      </c>
      <c r="I25" s="6">
        <f>+I29</f>
        <v>536250000</v>
      </c>
    </row>
    <row r="26" spans="1:19" x14ac:dyDescent="0.25">
      <c r="A26" s="17"/>
      <c r="F26" s="17"/>
    </row>
    <row r="27" spans="1:19" x14ac:dyDescent="0.25">
      <c r="A27" t="s">
        <v>69</v>
      </c>
      <c r="B27" s="2">
        <f>+C27/C29</f>
        <v>0.45</v>
      </c>
      <c r="C27" s="9">
        <f>+'Data for Settlement &amp; 1st TU'!H27</f>
        <v>225000000</v>
      </c>
      <c r="D27" s="9">
        <f>+C27</f>
        <v>225000000</v>
      </c>
      <c r="F27" t="s">
        <v>27</v>
      </c>
      <c r="G27" s="13">
        <f>+H27/H29</f>
        <v>0.42713216957605987</v>
      </c>
      <c r="H27" s="62">
        <v>214100000</v>
      </c>
      <c r="I27" s="6">
        <f>+H27</f>
        <v>214100000</v>
      </c>
      <c r="K27" s="74"/>
    </row>
    <row r="28" spans="1:19" x14ac:dyDescent="0.25">
      <c r="A28" t="s">
        <v>70</v>
      </c>
      <c r="B28" s="2">
        <f>+C28/C29</f>
        <v>0.55000000000000004</v>
      </c>
      <c r="C28" s="9">
        <f>+'Data for Settlement &amp; 1st TU'!H28</f>
        <v>275000000</v>
      </c>
      <c r="D28" s="9">
        <f>+C28-C7</f>
        <v>310000000</v>
      </c>
      <c r="F28" t="s">
        <v>28</v>
      </c>
      <c r="G28" s="13">
        <f>+H28/H29</f>
        <v>0.57286783042394018</v>
      </c>
      <c r="H28" s="62">
        <v>287150000</v>
      </c>
      <c r="I28" s="6">
        <f>+H28-H7</f>
        <v>322150000</v>
      </c>
      <c r="J28" s="6"/>
      <c r="K28" s="6"/>
      <c r="L28" s="6"/>
      <c r="M28" s="6"/>
    </row>
    <row r="29" spans="1:19" ht="15.75" thickBot="1" x14ac:dyDescent="0.3">
      <c r="A29" t="s">
        <v>56</v>
      </c>
      <c r="B29" s="19">
        <f>+B27+B28</f>
        <v>1</v>
      </c>
      <c r="C29" s="18">
        <f>+C27+C28</f>
        <v>500000000</v>
      </c>
      <c r="D29" s="18">
        <f>+D27+D28</f>
        <v>535000000</v>
      </c>
      <c r="F29" t="s">
        <v>59</v>
      </c>
      <c r="G29" s="19">
        <f>+G27+G28</f>
        <v>1</v>
      </c>
      <c r="H29" s="18">
        <f>+H27+H28</f>
        <v>501250000</v>
      </c>
      <c r="I29" s="18">
        <f>+I27+I28</f>
        <v>536250000</v>
      </c>
      <c r="J29" s="1"/>
      <c r="K29" s="20"/>
    </row>
    <row r="30" spans="1:19" ht="15.75" thickTop="1" x14ac:dyDescent="0.25">
      <c r="K30" s="2"/>
    </row>
    <row r="31" spans="1:19" ht="15.75" x14ac:dyDescent="0.25">
      <c r="A31" s="26" t="s">
        <v>118</v>
      </c>
      <c r="F31" s="26" t="s">
        <v>340</v>
      </c>
    </row>
    <row r="32" spans="1:19" ht="31.15" customHeight="1" x14ac:dyDescent="0.25">
      <c r="A32" s="26"/>
      <c r="B32" s="23" t="s">
        <v>11</v>
      </c>
      <c r="C32" s="23" t="s">
        <v>17</v>
      </c>
      <c r="D32" s="59" t="s">
        <v>20</v>
      </c>
      <c r="F32" s="26"/>
      <c r="G32" s="23" t="s">
        <v>12</v>
      </c>
      <c r="H32" s="23" t="s">
        <v>17</v>
      </c>
      <c r="I32" s="59" t="s">
        <v>365</v>
      </c>
      <c r="J32" s="15"/>
      <c r="K32" s="15"/>
      <c r="L32" s="15"/>
      <c r="M32" s="15"/>
    </row>
    <row r="33" spans="1:13" x14ac:dyDescent="0.25">
      <c r="A33" t="s">
        <v>2</v>
      </c>
      <c r="B33" s="13">
        <f>+'Data for Settlement &amp; 1st TU'!G33</f>
        <v>2.2222222222222223E-2</v>
      </c>
      <c r="C33" s="373">
        <f>+B33*$C$27</f>
        <v>5000000</v>
      </c>
      <c r="D33" s="70">
        <f>+'Data for Settlement &amp; 1st TU'!I33</f>
        <v>7.6999999999999999E-2</v>
      </c>
      <c r="F33" t="s">
        <v>2</v>
      </c>
      <c r="G33" s="68">
        <v>2.0738938313467473E-2</v>
      </c>
      <c r="H33" s="373">
        <f>+G33*$H$27</f>
        <v>4440206.692913386</v>
      </c>
      <c r="I33" s="22">
        <f>+D33</f>
        <v>7.6999999999999999E-2</v>
      </c>
      <c r="J33" s="22"/>
      <c r="K33" s="1"/>
      <c r="L33" s="22"/>
      <c r="M33" s="22"/>
    </row>
    <row r="34" spans="1:13" x14ac:dyDescent="0.25">
      <c r="A34" t="s">
        <v>3</v>
      </c>
      <c r="B34" s="13">
        <f>+'Data for Settlement &amp; 1st TU'!G34</f>
        <v>3.111111111111111E-2</v>
      </c>
      <c r="C34" s="373">
        <f t="shared" ref="C34:C37" si="4">+B34*$C$27</f>
        <v>7000000</v>
      </c>
      <c r="D34" s="70">
        <f>+'Data for Settlement &amp; 1st TU'!I34</f>
        <v>8.8999999999999996E-2</v>
      </c>
      <c r="F34" t="s">
        <v>3</v>
      </c>
      <c r="G34" s="68">
        <v>3.8251819555951118E-2</v>
      </c>
      <c r="H34" s="373">
        <f t="shared" ref="H34:H37" si="5">+G34*$H$27</f>
        <v>8189714.5669291345</v>
      </c>
      <c r="I34" s="22">
        <f t="shared" ref="I34:I37" si="6">+D34</f>
        <v>8.8999999999999996E-2</v>
      </c>
      <c r="J34" s="22"/>
      <c r="K34" s="1"/>
      <c r="L34" s="22"/>
      <c r="M34" s="22"/>
    </row>
    <row r="35" spans="1:13" x14ac:dyDescent="0.25">
      <c r="A35" t="s">
        <v>4</v>
      </c>
      <c r="B35" s="13">
        <f>+'Data for Settlement &amp; 1st TU'!G35</f>
        <v>0.44444444444444442</v>
      </c>
      <c r="C35" s="373">
        <f t="shared" si="4"/>
        <v>100000000</v>
      </c>
      <c r="D35" s="70">
        <f>+'Data for Settlement &amp; 1st TU'!I35</f>
        <v>6.5000000000000002E-2</v>
      </c>
      <c r="F35" t="s">
        <v>4</v>
      </c>
      <c r="G35" s="68">
        <v>0.41009242130581408</v>
      </c>
      <c r="H35" s="373">
        <f t="shared" si="5"/>
        <v>87800787.40157479</v>
      </c>
      <c r="I35" s="22">
        <f t="shared" si="6"/>
        <v>6.5000000000000002E-2</v>
      </c>
      <c r="J35" s="22"/>
      <c r="K35" s="1"/>
      <c r="L35" s="22"/>
      <c r="M35" s="22"/>
    </row>
    <row r="36" spans="1:13" x14ac:dyDescent="0.25">
      <c r="A36" t="s">
        <v>6</v>
      </c>
      <c r="B36" s="13">
        <f>+'Data for Settlement &amp; 1st TU'!G36</f>
        <v>0.22222222222222221</v>
      </c>
      <c r="C36" s="373">
        <f t="shared" si="4"/>
        <v>50000000</v>
      </c>
      <c r="D36" s="70">
        <f>+'Data for Settlement &amp; 1st TU'!I36</f>
        <v>9.4E-2</v>
      </c>
      <c r="F36" t="s">
        <v>6</v>
      </c>
      <c r="G36" s="68">
        <v>0.2488672597616097</v>
      </c>
      <c r="H36" s="373">
        <f t="shared" si="5"/>
        <v>53282480.314960636</v>
      </c>
      <c r="I36" s="22">
        <f t="shared" si="6"/>
        <v>9.4E-2</v>
      </c>
      <c r="J36" s="22"/>
      <c r="K36" s="1"/>
      <c r="L36" s="22"/>
      <c r="M36" s="22"/>
    </row>
    <row r="37" spans="1:13" x14ac:dyDescent="0.25">
      <c r="A37" t="s">
        <v>5</v>
      </c>
      <c r="B37" s="13">
        <f>+'Data for Settlement &amp; 1st TU'!G37</f>
        <v>0.28000000000000003</v>
      </c>
      <c r="C37" s="373">
        <f t="shared" si="4"/>
        <v>63000000.000000007</v>
      </c>
      <c r="D37" s="70">
        <f>+'Data for Settlement &amp; 1st TU'!I37</f>
        <v>0.13200000000000001</v>
      </c>
      <c r="F37" t="s">
        <v>5</v>
      </c>
      <c r="G37" s="68">
        <v>0.28204956106315765</v>
      </c>
      <c r="H37" s="373">
        <f t="shared" si="5"/>
        <v>60386811.023622051</v>
      </c>
      <c r="I37" s="22">
        <f t="shared" si="6"/>
        <v>0.13200000000000001</v>
      </c>
      <c r="J37" s="22"/>
      <c r="K37" s="1"/>
      <c r="L37" s="22"/>
      <c r="M37" s="22"/>
    </row>
    <row r="38" spans="1:13" ht="15.75" thickBot="1" x14ac:dyDescent="0.3">
      <c r="B38" s="19">
        <f>SUM(B33:B37)</f>
        <v>1</v>
      </c>
      <c r="C38" s="18">
        <f>SUM(C33:C37)</f>
        <v>225000000</v>
      </c>
      <c r="G38" s="19">
        <f>SUM(G33:G37)</f>
        <v>1</v>
      </c>
      <c r="H38" s="18">
        <f>SUM(H33:H37)</f>
        <v>214100000</v>
      </c>
      <c r="K38" s="6"/>
    </row>
    <row r="39" spans="1:13" ht="15.75" thickTop="1" x14ac:dyDescent="0.25"/>
    <row r="40" spans="1:13" x14ac:dyDescent="0.25">
      <c r="A40" s="26" t="s">
        <v>278</v>
      </c>
      <c r="F40" s="26" t="s">
        <v>138</v>
      </c>
    </row>
    <row r="41" spans="1:13" x14ac:dyDescent="0.25">
      <c r="A41" s="11"/>
      <c r="B41" s="79" t="s">
        <v>57</v>
      </c>
      <c r="F41" s="11"/>
      <c r="G41" s="79" t="s">
        <v>57</v>
      </c>
    </row>
    <row r="42" spans="1:13" x14ac:dyDescent="0.25">
      <c r="A42" s="11" t="s">
        <v>18</v>
      </c>
      <c r="B42" s="79" t="s">
        <v>13</v>
      </c>
      <c r="F42" s="11" t="s">
        <v>18</v>
      </c>
      <c r="G42" s="79" t="s">
        <v>13</v>
      </c>
    </row>
    <row r="43" spans="1:13" x14ac:dyDescent="0.25">
      <c r="A43" t="s">
        <v>73</v>
      </c>
      <c r="B43" s="64">
        <f>+B84</f>
        <v>3.1848807346377295E-2</v>
      </c>
      <c r="C43" s="74"/>
      <c r="F43" t="s">
        <v>133</v>
      </c>
      <c r="G43" s="10">
        <f>+G84</f>
        <v>3.194947328395592E-2</v>
      </c>
      <c r="H43" s="74"/>
      <c r="K43" s="74"/>
      <c r="L43" s="84"/>
    </row>
    <row r="44" spans="1:13" x14ac:dyDescent="0.25">
      <c r="A44" t="s">
        <v>74</v>
      </c>
      <c r="B44" s="64">
        <f>+B85</f>
        <v>2.7681818181818182E-2</v>
      </c>
      <c r="C44" s="74"/>
      <c r="F44" t="s">
        <v>134</v>
      </c>
      <c r="G44" s="10">
        <f>+G85</f>
        <v>2.7763164898064498E-2</v>
      </c>
      <c r="H44" s="74"/>
      <c r="I44" s="74"/>
      <c r="K44" s="74"/>
      <c r="L44" s="84"/>
    </row>
    <row r="45" spans="1:13" x14ac:dyDescent="0.25">
      <c r="A45" t="s">
        <v>22</v>
      </c>
      <c r="B45" s="64">
        <f>+'Data for Settlement &amp; 1st TU'!G45</f>
        <v>0.10589999999999999</v>
      </c>
      <c r="F45" t="s">
        <v>22</v>
      </c>
      <c r="G45" s="3">
        <f>+B45</f>
        <v>0.10589999999999999</v>
      </c>
      <c r="I45" s="83"/>
    </row>
    <row r="46" spans="1:13" x14ac:dyDescent="0.25">
      <c r="A46" t="s">
        <v>23</v>
      </c>
      <c r="B46" s="64">
        <f>+'Data for Settlement &amp; 1st TU'!G46</f>
        <v>7.8700000000000006E-2</v>
      </c>
      <c r="F46" t="s">
        <v>23</v>
      </c>
      <c r="G46" s="3">
        <f>+B46</f>
        <v>7.8700000000000006E-2</v>
      </c>
      <c r="I46" s="74"/>
    </row>
    <row r="47" spans="1:13" x14ac:dyDescent="0.25">
      <c r="A47" t="s">
        <v>107</v>
      </c>
      <c r="B47" s="64">
        <f>+'Data for Settlement &amp; 1st TU'!G47</f>
        <v>8.7099999999999997E-2</v>
      </c>
      <c r="F47" t="s">
        <v>107</v>
      </c>
      <c r="G47" s="3">
        <f>+B47</f>
        <v>8.7099999999999997E-2</v>
      </c>
    </row>
    <row r="48" spans="1:13" x14ac:dyDescent="0.25">
      <c r="A48" t="s">
        <v>126</v>
      </c>
      <c r="B48" s="64">
        <f>+'Data for Settlement &amp; 1st TU'!G48</f>
        <v>8.8359370314842575E-2</v>
      </c>
      <c r="F48" t="s">
        <v>126</v>
      </c>
      <c r="G48" s="3">
        <f>+B48</f>
        <v>8.8359370314842575E-2</v>
      </c>
    </row>
    <row r="49" spans="1:27" x14ac:dyDescent="0.25">
      <c r="B49" s="10"/>
    </row>
    <row r="50" spans="1:27" ht="18.75" x14ac:dyDescent="0.3">
      <c r="A50" s="25" t="s">
        <v>26</v>
      </c>
      <c r="B50" s="10"/>
      <c r="F50" s="25" t="s">
        <v>26</v>
      </c>
      <c r="G50" s="10"/>
    </row>
    <row r="51" spans="1:27" x14ac:dyDescent="0.25">
      <c r="A51" s="1"/>
      <c r="B51" s="3"/>
      <c r="F51" s="1"/>
      <c r="G51" s="3"/>
      <c r="H51" s="72"/>
    </row>
    <row r="52" spans="1:27" x14ac:dyDescent="0.25">
      <c r="A52" s="26" t="s">
        <v>120</v>
      </c>
      <c r="F52" s="26" t="s">
        <v>130</v>
      </c>
    </row>
    <row r="53" spans="1:27" x14ac:dyDescent="0.25">
      <c r="A53" s="26"/>
      <c r="B53" s="23" t="s">
        <v>39</v>
      </c>
      <c r="C53" s="57" t="s">
        <v>17</v>
      </c>
      <c r="D53" s="58" t="s">
        <v>40</v>
      </c>
      <c r="F53" s="26"/>
      <c r="G53" s="23" t="s">
        <v>39</v>
      </c>
      <c r="H53" s="57" t="s">
        <v>17</v>
      </c>
      <c r="I53" s="58" t="s">
        <v>40</v>
      </c>
      <c r="J53" s="11"/>
    </row>
    <row r="54" spans="1:27" x14ac:dyDescent="0.25">
      <c r="A54" t="s">
        <v>235</v>
      </c>
      <c r="B54" s="3">
        <f>+'Data for Settlement &amp; 1st TU'!G54</f>
        <v>0.65</v>
      </c>
      <c r="C54" s="6">
        <f>+C6</f>
        <v>8000000</v>
      </c>
      <c r="D54" s="14">
        <f>+B54*C54</f>
        <v>5200000</v>
      </c>
      <c r="F54" t="s">
        <v>235</v>
      </c>
      <c r="G54" s="3">
        <f>+B54</f>
        <v>0.65</v>
      </c>
      <c r="H54" s="6">
        <f>+I6</f>
        <v>8000000</v>
      </c>
      <c r="I54" s="14">
        <f>+H54*G54</f>
        <v>5200000</v>
      </c>
      <c r="J54" s="11"/>
      <c r="K54" s="1"/>
    </row>
    <row r="55" spans="1:27" x14ac:dyDescent="0.25">
      <c r="A55" t="s">
        <v>72</v>
      </c>
      <c r="B55" s="3">
        <f>+'Data for Settlement &amp; 1st TU'!G55</f>
        <v>2.9436574235123938E-2</v>
      </c>
      <c r="C55" s="6">
        <f>+D5</f>
        <v>527250000</v>
      </c>
      <c r="D55" s="14">
        <f>+C55*B55</f>
        <v>15520433.765469097</v>
      </c>
      <c r="F55" t="s">
        <v>72</v>
      </c>
      <c r="G55" s="3">
        <f>+B55</f>
        <v>2.9436574235123938E-2</v>
      </c>
      <c r="H55" s="6">
        <f>+I5</f>
        <v>527250000</v>
      </c>
      <c r="I55" s="14">
        <f>+H55*G55</f>
        <v>15520433.765469097</v>
      </c>
      <c r="J55" s="4"/>
      <c r="K55" s="1"/>
      <c r="L55" s="4"/>
    </row>
    <row r="56" spans="1:27" x14ac:dyDescent="0.25">
      <c r="A56" t="s">
        <v>110</v>
      </c>
      <c r="B56" s="3"/>
      <c r="C56" s="6"/>
      <c r="D56" s="14">
        <f>+'Data for Settlement &amp; 1st TU'!I56</f>
        <v>1980000</v>
      </c>
      <c r="F56" t="s">
        <v>110</v>
      </c>
      <c r="G56" s="3"/>
      <c r="H56" s="6"/>
      <c r="I56" s="14">
        <f>+D56</f>
        <v>1980000</v>
      </c>
      <c r="J56" s="4"/>
      <c r="K56" s="1"/>
      <c r="L56" s="14"/>
      <c r="M56" s="12"/>
      <c r="N56" s="12"/>
      <c r="O56" s="12"/>
    </row>
    <row r="57" spans="1:27" ht="17.25" x14ac:dyDescent="0.25">
      <c r="A57" t="s">
        <v>42</v>
      </c>
      <c r="B57" s="10">
        <f>+B48</f>
        <v>8.8359370314842575E-2</v>
      </c>
      <c r="C57" s="6">
        <f>+C10</f>
        <v>225112500</v>
      </c>
      <c r="D57" s="14">
        <f>+C57*B57</f>
        <v>19890798.75</v>
      </c>
      <c r="F57" t="s">
        <v>341</v>
      </c>
      <c r="G57" s="64">
        <f>+G48</f>
        <v>8.8359370314842575E-2</v>
      </c>
      <c r="H57" s="6">
        <f>+H10</f>
        <v>213672867.83042395</v>
      </c>
      <c r="I57" s="14">
        <f>+H57*G57</f>
        <v>18880000.054862842</v>
      </c>
      <c r="J57" s="14"/>
      <c r="K57" s="377"/>
      <c r="L57" s="94"/>
      <c r="M57" s="12"/>
      <c r="N57" s="12"/>
      <c r="O57" s="12"/>
    </row>
    <row r="58" spans="1:27" ht="17.25" x14ac:dyDescent="0.25">
      <c r="A58" t="s">
        <v>41</v>
      </c>
      <c r="B58" s="10">
        <f>+B48</f>
        <v>8.8359370314842575E-2</v>
      </c>
      <c r="C58" s="6">
        <f>+C11</f>
        <v>275137500</v>
      </c>
      <c r="D58" s="14">
        <f>+C58*B58</f>
        <v>24310976.25</v>
      </c>
      <c r="F58" t="s">
        <v>342</v>
      </c>
      <c r="G58" s="64">
        <f>+G48</f>
        <v>8.8359370314842575E-2</v>
      </c>
      <c r="H58" s="6">
        <f>+H11</f>
        <v>286577132.16957605</v>
      </c>
      <c r="I58" s="14">
        <f>+H58*G58</f>
        <v>25321774.945137154</v>
      </c>
      <c r="J58" s="14"/>
      <c r="K58" s="1"/>
      <c r="L58" s="14"/>
      <c r="M58" s="12"/>
      <c r="N58" s="12"/>
      <c r="O58" s="12"/>
    </row>
    <row r="59" spans="1:27" ht="17.25" x14ac:dyDescent="0.25">
      <c r="A59" t="s">
        <v>363</v>
      </c>
      <c r="B59" s="10"/>
      <c r="C59" s="6"/>
      <c r="D59" s="14">
        <f>+'Data for Settlement &amp; 1st TU'!I59</f>
        <v>-4271000.0000000019</v>
      </c>
      <c r="F59" t="s">
        <v>343</v>
      </c>
      <c r="G59" s="10"/>
      <c r="H59" s="6"/>
      <c r="I59" s="14">
        <f>+D59</f>
        <v>-4271000.0000000019</v>
      </c>
      <c r="J59" s="14"/>
      <c r="K59" s="1"/>
      <c r="L59" s="94"/>
      <c r="M59" s="12"/>
      <c r="N59" s="12"/>
      <c r="O59" s="12"/>
    </row>
    <row r="60" spans="1:27" x14ac:dyDescent="0.25">
      <c r="A60" t="s">
        <v>234</v>
      </c>
      <c r="B60" s="10">
        <f>+'Data for Settlement &amp; 1st TU'!G60</f>
        <v>-0.62071240441801245</v>
      </c>
      <c r="C60" s="6">
        <f>+D6</f>
        <v>8000000</v>
      </c>
      <c r="D60" s="14">
        <f>+B60*C60</f>
        <v>-4965699.2353440998</v>
      </c>
      <c r="F60" t="s">
        <v>234</v>
      </c>
      <c r="G60" s="10">
        <f>+B60</f>
        <v>-0.62071240441801245</v>
      </c>
      <c r="H60" s="6">
        <f>+I6</f>
        <v>8000000</v>
      </c>
      <c r="I60" s="14">
        <f>+G60*H60</f>
        <v>-4965699.2353440998</v>
      </c>
      <c r="J60" s="14"/>
      <c r="K60" s="4"/>
      <c r="L60" s="378"/>
      <c r="M60" s="12"/>
      <c r="N60" s="12"/>
      <c r="O60" s="12"/>
    </row>
    <row r="61" spans="1:27" ht="15.75" thickBot="1" x14ac:dyDescent="0.3">
      <c r="A61" t="s">
        <v>236</v>
      </c>
      <c r="B61" s="10"/>
      <c r="C61" s="6"/>
      <c r="D61" s="61">
        <f>SUM(D54:D60)</f>
        <v>57665509.530125</v>
      </c>
      <c r="F61" t="s">
        <v>236</v>
      </c>
      <c r="G61" s="10"/>
      <c r="H61" s="6"/>
      <c r="I61" s="61">
        <f>SUM(I54:I60)</f>
        <v>57665509.530124992</v>
      </c>
      <c r="J61" s="21"/>
      <c r="K61" s="21"/>
      <c r="L61" s="153"/>
      <c r="M61" s="153"/>
      <c r="N61" s="12"/>
      <c r="O61" s="12"/>
    </row>
    <row r="62" spans="1:27" ht="15.75" thickTop="1" x14ac:dyDescent="0.25">
      <c r="L62" s="12"/>
      <c r="M62" s="12"/>
      <c r="N62" s="12"/>
      <c r="O62" s="12"/>
      <c r="V62" s="12"/>
      <c r="W62" s="12"/>
      <c r="X62" s="12"/>
      <c r="Y62" s="12"/>
      <c r="Z62" s="12"/>
      <c r="AA62" s="12"/>
    </row>
    <row r="63" spans="1:27" ht="18.75" x14ac:dyDescent="0.3">
      <c r="A63" s="25" t="s">
        <v>125</v>
      </c>
      <c r="F63" s="25" t="s">
        <v>127</v>
      </c>
      <c r="I63" s="5"/>
      <c r="L63" s="12"/>
      <c r="M63" s="12"/>
      <c r="N63" s="12"/>
      <c r="O63" s="12"/>
      <c r="U63" s="5"/>
      <c r="V63" s="12"/>
      <c r="W63" s="12"/>
      <c r="X63" s="119"/>
      <c r="Y63" s="119"/>
      <c r="Z63" s="119"/>
      <c r="AA63" s="12"/>
    </row>
    <row r="64" spans="1:27" ht="18.75" x14ac:dyDescent="0.3">
      <c r="A64" s="25"/>
      <c r="F64" s="25"/>
      <c r="L64" s="12"/>
      <c r="M64" s="12"/>
      <c r="N64" s="12"/>
      <c r="O64" s="12"/>
      <c r="V64" s="12"/>
      <c r="W64" s="12"/>
      <c r="X64" s="97"/>
      <c r="Y64" s="64"/>
      <c r="Z64" s="12"/>
      <c r="AA64" s="12"/>
    </row>
    <row r="65" spans="1:27" x14ac:dyDescent="0.25">
      <c r="A65" s="26" t="s">
        <v>121</v>
      </c>
      <c r="F65" s="26" t="s">
        <v>131</v>
      </c>
      <c r="L65" s="12"/>
      <c r="M65" s="12"/>
      <c r="N65" s="12"/>
      <c r="O65" s="12"/>
      <c r="V65" s="12"/>
      <c r="W65" s="12"/>
      <c r="X65" s="120"/>
      <c r="Y65" s="120"/>
      <c r="Z65" s="120"/>
      <c r="AA65" s="12"/>
    </row>
    <row r="66" spans="1:27" ht="30" x14ac:dyDescent="0.25">
      <c r="A66" s="26"/>
      <c r="B66" s="59" t="s">
        <v>20</v>
      </c>
      <c r="C66" s="23" t="s">
        <v>17</v>
      </c>
      <c r="D66" s="23" t="s">
        <v>40</v>
      </c>
      <c r="F66" s="26"/>
      <c r="G66" s="59" t="s">
        <v>365</v>
      </c>
      <c r="H66" s="23" t="s">
        <v>17</v>
      </c>
      <c r="I66" s="23" t="s">
        <v>40</v>
      </c>
      <c r="K66" s="59" t="s">
        <v>220</v>
      </c>
      <c r="L66" s="114" t="s">
        <v>221</v>
      </c>
      <c r="M66" s="12"/>
      <c r="N66" s="12"/>
      <c r="O66" s="12"/>
      <c r="U66" s="71"/>
      <c r="V66" s="121"/>
      <c r="W66" s="12"/>
      <c r="X66" s="120"/>
      <c r="Y66" s="12"/>
      <c r="Z66" s="12"/>
      <c r="AA66" s="12"/>
    </row>
    <row r="67" spans="1:27" x14ac:dyDescent="0.25">
      <c r="A67" t="s">
        <v>2</v>
      </c>
      <c r="B67" s="3">
        <f>+D33</f>
        <v>7.6999999999999999E-2</v>
      </c>
      <c r="C67" s="1">
        <f>+C33</f>
        <v>5000000</v>
      </c>
      <c r="D67" s="27">
        <f>+C67*B67</f>
        <v>385000</v>
      </c>
      <c r="F67" t="s">
        <v>2</v>
      </c>
      <c r="G67" s="3">
        <f>+D33</f>
        <v>7.6999999999999999E-2</v>
      </c>
      <c r="H67" s="1">
        <f>+H33</f>
        <v>4440206.692913386</v>
      </c>
      <c r="I67" s="27">
        <f>+H67*G67</f>
        <v>341895.91535433073</v>
      </c>
      <c r="K67" s="4">
        <f>'Data for Settlement &amp; 1st TU'!P67</f>
        <v>192500</v>
      </c>
      <c r="L67" s="14">
        <f>I67-K67</f>
        <v>149395.91535433073</v>
      </c>
      <c r="M67" s="12"/>
      <c r="N67" s="12"/>
      <c r="O67" s="12"/>
      <c r="U67" s="27"/>
      <c r="V67" s="122"/>
      <c r="W67" s="122"/>
      <c r="X67" s="122"/>
      <c r="Y67" s="12"/>
      <c r="Z67" s="12"/>
      <c r="AA67" s="12"/>
    </row>
    <row r="68" spans="1:27" x14ac:dyDescent="0.25">
      <c r="A68" t="s">
        <v>3</v>
      </c>
      <c r="B68" s="3">
        <f>+D34</f>
        <v>8.8999999999999996E-2</v>
      </c>
      <c r="C68" s="1">
        <f>+C34</f>
        <v>7000000</v>
      </c>
      <c r="D68" s="27">
        <f t="shared" ref="D68:D71" si="7">+C68*B68</f>
        <v>623000</v>
      </c>
      <c r="F68" t="s">
        <v>3</v>
      </c>
      <c r="G68" s="3">
        <f>+D34</f>
        <v>8.8999999999999996E-2</v>
      </c>
      <c r="H68" s="1">
        <f>+H34</f>
        <v>8189714.5669291345</v>
      </c>
      <c r="I68" s="27">
        <f t="shared" ref="I68:I71" si="8">+H68*G68</f>
        <v>728884.5964566929</v>
      </c>
      <c r="K68" s="4">
        <f>'Data for Settlement &amp; 1st TU'!P68</f>
        <v>311500</v>
      </c>
      <c r="L68" s="14">
        <f t="shared" ref="L68:L72" si="9">I68-K68</f>
        <v>417384.5964566929</v>
      </c>
      <c r="M68" s="12"/>
      <c r="N68" s="12"/>
      <c r="O68" s="12"/>
      <c r="U68" s="27"/>
      <c r="V68" s="122"/>
      <c r="W68" s="122"/>
      <c r="X68" s="122"/>
      <c r="Y68" s="12"/>
      <c r="Z68" s="12"/>
      <c r="AA68" s="12"/>
    </row>
    <row r="69" spans="1:27" x14ac:dyDescent="0.25">
      <c r="A69" t="s">
        <v>4</v>
      </c>
      <c r="B69" s="3">
        <f>+D35</f>
        <v>6.5000000000000002E-2</v>
      </c>
      <c r="C69" s="1">
        <f>+C35</f>
        <v>100000000</v>
      </c>
      <c r="D69" s="27">
        <f t="shared" si="7"/>
        <v>6500000</v>
      </c>
      <c r="F69" t="s">
        <v>4</v>
      </c>
      <c r="G69" s="3">
        <f>+D35</f>
        <v>6.5000000000000002E-2</v>
      </c>
      <c r="H69" s="1">
        <f>+H35</f>
        <v>87800787.40157479</v>
      </c>
      <c r="I69" s="27">
        <f t="shared" si="8"/>
        <v>5707051.1811023615</v>
      </c>
      <c r="K69" s="4">
        <f>'Data for Settlement &amp; 1st TU'!P69</f>
        <v>3250000</v>
      </c>
      <c r="L69" s="14">
        <f t="shared" si="9"/>
        <v>2457051.1811023615</v>
      </c>
      <c r="M69" s="12"/>
      <c r="N69" s="12"/>
      <c r="O69" s="12"/>
      <c r="U69" s="27"/>
      <c r="V69" s="122"/>
      <c r="W69" s="122"/>
      <c r="X69" s="122"/>
      <c r="Y69" s="12"/>
      <c r="Z69" s="12"/>
      <c r="AA69" s="12"/>
    </row>
    <row r="70" spans="1:27" x14ac:dyDescent="0.25">
      <c r="A70" t="s">
        <v>6</v>
      </c>
      <c r="B70" s="3">
        <f>+D36</f>
        <v>9.4E-2</v>
      </c>
      <c r="C70" s="1">
        <f>+C36</f>
        <v>50000000</v>
      </c>
      <c r="D70" s="27">
        <f t="shared" si="7"/>
        <v>4700000</v>
      </c>
      <c r="F70" t="s">
        <v>6</v>
      </c>
      <c r="G70" s="3">
        <f>+D36</f>
        <v>9.4E-2</v>
      </c>
      <c r="H70" s="1">
        <f>+H36</f>
        <v>53282480.314960636</v>
      </c>
      <c r="I70" s="27">
        <f t="shared" si="8"/>
        <v>5008553.1496062996</v>
      </c>
      <c r="K70" s="4">
        <f>'Data for Settlement &amp; 1st TU'!O70</f>
        <v>2350000</v>
      </c>
      <c r="L70" s="14">
        <f t="shared" si="9"/>
        <v>2658553.1496062996</v>
      </c>
      <c r="M70" s="12"/>
      <c r="N70" s="12"/>
      <c r="O70" s="12"/>
      <c r="U70" s="27"/>
      <c r="V70" s="122"/>
      <c r="W70" s="122"/>
      <c r="X70" s="122"/>
      <c r="Y70" s="12"/>
      <c r="Z70" s="12"/>
      <c r="AA70" s="12"/>
    </row>
    <row r="71" spans="1:27" x14ac:dyDescent="0.25">
      <c r="A71" t="s">
        <v>5</v>
      </c>
      <c r="B71" s="3">
        <f>+D37</f>
        <v>0.13200000000000001</v>
      </c>
      <c r="C71" s="1">
        <f>+C37</f>
        <v>63000000.000000007</v>
      </c>
      <c r="D71" s="27">
        <f t="shared" si="7"/>
        <v>8316000.0000000009</v>
      </c>
      <c r="F71" t="s">
        <v>5</v>
      </c>
      <c r="G71" s="3">
        <f>+D37</f>
        <v>0.13200000000000001</v>
      </c>
      <c r="H71" s="1">
        <f>+H37</f>
        <v>60386811.023622051</v>
      </c>
      <c r="I71" s="27">
        <f t="shared" si="8"/>
        <v>7971059.055118111</v>
      </c>
      <c r="K71" s="4">
        <f>'Data for Settlement &amp; 1st TU'!O71</f>
        <v>4158000.0000000005</v>
      </c>
      <c r="L71" s="14">
        <f t="shared" si="9"/>
        <v>3813059.0551181105</v>
      </c>
      <c r="M71" s="12"/>
      <c r="N71" s="12"/>
      <c r="O71" s="12"/>
      <c r="U71" s="27"/>
      <c r="V71" s="122"/>
      <c r="W71" s="122"/>
      <c r="X71" s="122"/>
      <c r="Y71" s="12"/>
      <c r="Z71" s="12"/>
      <c r="AA71" s="12"/>
    </row>
    <row r="72" spans="1:27" ht="15.75" thickBot="1" x14ac:dyDescent="0.3">
      <c r="A72" t="s">
        <v>21</v>
      </c>
      <c r="C72" s="16">
        <f>SUM(C67:C71)</f>
        <v>225000000</v>
      </c>
      <c r="D72" s="61">
        <f>SUM(D67:D71)</f>
        <v>20524000</v>
      </c>
      <c r="F72" t="s">
        <v>29</v>
      </c>
      <c r="H72" s="16">
        <f>SUM(H67:H71)</f>
        <v>214100000</v>
      </c>
      <c r="I72" s="61">
        <f>SUM(I67:I71)</f>
        <v>19757443.897637796</v>
      </c>
      <c r="K72" s="16">
        <f>SUM(K67:K71)</f>
        <v>10262000</v>
      </c>
      <c r="L72" s="61">
        <f t="shared" si="9"/>
        <v>9495443.8976377957</v>
      </c>
      <c r="M72" s="12"/>
      <c r="N72" s="12"/>
      <c r="O72" s="12"/>
      <c r="U72" s="28"/>
      <c r="V72" s="65"/>
      <c r="W72" s="65"/>
      <c r="X72" s="65"/>
      <c r="Y72" s="12"/>
      <c r="Z72" s="12"/>
      <c r="AA72" s="12"/>
    </row>
    <row r="73" spans="1:27" ht="15.75" thickTop="1" x14ac:dyDescent="0.25">
      <c r="C73" s="7"/>
      <c r="D73" s="28"/>
      <c r="I73" s="12"/>
      <c r="K73" s="74"/>
      <c r="L73" s="12"/>
      <c r="M73" s="12"/>
      <c r="N73" s="12"/>
      <c r="O73" s="12"/>
      <c r="U73" s="5"/>
      <c r="V73" s="94"/>
      <c r="W73" s="94"/>
      <c r="X73" s="123"/>
      <c r="Y73" s="12"/>
      <c r="Z73" s="12"/>
      <c r="AA73" s="12"/>
    </row>
    <row r="74" spans="1:27" x14ac:dyDescent="0.25">
      <c r="A74" s="26" t="s">
        <v>279</v>
      </c>
      <c r="F74" s="26" t="s">
        <v>271</v>
      </c>
      <c r="I74" s="12"/>
      <c r="K74" s="83"/>
      <c r="L74" s="64"/>
      <c r="M74" s="12"/>
      <c r="N74" s="12"/>
      <c r="O74" s="12"/>
      <c r="U74" s="28"/>
      <c r="V74" s="65"/>
      <c r="W74" s="65"/>
      <c r="X74" s="65"/>
      <c r="Y74" s="12"/>
      <c r="Z74" s="12"/>
      <c r="AA74" s="12"/>
    </row>
    <row r="75" spans="1:27" ht="30" x14ac:dyDescent="0.25">
      <c r="A75" s="26"/>
      <c r="B75" s="23" t="s">
        <v>39</v>
      </c>
      <c r="C75" s="57" t="s">
        <v>17</v>
      </c>
      <c r="D75" s="58" t="s">
        <v>40</v>
      </c>
      <c r="F75" s="26"/>
      <c r="G75" s="23" t="s">
        <v>39</v>
      </c>
      <c r="H75" s="57" t="s">
        <v>17</v>
      </c>
      <c r="I75" s="66" t="s">
        <v>40</v>
      </c>
      <c r="K75" s="59" t="s">
        <v>220</v>
      </c>
      <c r="L75" s="114" t="s">
        <v>221</v>
      </c>
      <c r="M75" s="12"/>
      <c r="N75" s="12"/>
      <c r="O75" s="12"/>
      <c r="U75" s="28"/>
      <c r="V75" s="65"/>
      <c r="W75" s="65"/>
      <c r="X75" s="65"/>
      <c r="Y75" s="12"/>
      <c r="Z75" s="12"/>
      <c r="AA75" s="12"/>
    </row>
    <row r="76" spans="1:27" x14ac:dyDescent="0.25">
      <c r="A76" t="s">
        <v>132</v>
      </c>
      <c r="B76" s="10">
        <f>+B44</f>
        <v>2.7681818181818182E-2</v>
      </c>
      <c r="C76" s="7">
        <f>+D28</f>
        <v>310000000</v>
      </c>
      <c r="D76" s="65">
        <f>+B76*C76</f>
        <v>8581363.6363636367</v>
      </c>
      <c r="F76" t="s">
        <v>139</v>
      </c>
      <c r="G76" s="87">
        <f>+G44</f>
        <v>2.7763164898064498E-2</v>
      </c>
      <c r="H76" s="60">
        <f>+I28</f>
        <v>322150000</v>
      </c>
      <c r="I76" s="67">
        <f>+G76*H76</f>
        <v>8943903.5719114784</v>
      </c>
      <c r="K76" s="5">
        <f>'Data for Settlement &amp; 1st TU'!O76</f>
        <v>4290681.8181818184</v>
      </c>
      <c r="L76" s="94">
        <f>I76-K76</f>
        <v>4653221.7537296601</v>
      </c>
      <c r="M76" s="94"/>
      <c r="N76" s="12"/>
      <c r="O76" s="12"/>
      <c r="U76" s="28"/>
      <c r="V76" s="65"/>
      <c r="W76" s="65"/>
      <c r="X76" s="65"/>
      <c r="Y76" s="12"/>
      <c r="Z76" s="12"/>
      <c r="AA76" s="12"/>
    </row>
    <row r="77" spans="1:27" x14ac:dyDescent="0.25">
      <c r="A77" t="s">
        <v>123</v>
      </c>
      <c r="B77" s="10"/>
      <c r="C77" s="7"/>
      <c r="D77" s="65">
        <f>+D56</f>
        <v>1980000</v>
      </c>
      <c r="F77" t="s">
        <v>123</v>
      </c>
      <c r="G77" s="87"/>
      <c r="H77" s="60"/>
      <c r="I77" s="67">
        <f>+I56</f>
        <v>1980000</v>
      </c>
      <c r="K77" s="4">
        <f>'Data for Settlement &amp; 1st TU'!O77</f>
        <v>1980000</v>
      </c>
      <c r="L77" s="94">
        <f t="shared" ref="L77:L78" si="10">I77-K77</f>
        <v>0</v>
      </c>
      <c r="M77" s="94"/>
      <c r="N77" s="12"/>
      <c r="O77" s="121"/>
      <c r="U77" s="28"/>
      <c r="V77" s="65"/>
      <c r="W77" s="65"/>
      <c r="X77" s="65"/>
      <c r="Y77" s="12"/>
      <c r="Z77" s="12"/>
      <c r="AA77" s="12"/>
    </row>
    <row r="78" spans="1:27" x14ac:dyDescent="0.25">
      <c r="A78" t="s">
        <v>105</v>
      </c>
      <c r="B78" s="10">
        <f>+B45</f>
        <v>0.10589999999999999</v>
      </c>
      <c r="C78" s="7">
        <f>+C28</f>
        <v>275000000</v>
      </c>
      <c r="D78" s="65">
        <f>+B78*C78</f>
        <v>29122500</v>
      </c>
      <c r="F78" t="s">
        <v>105</v>
      </c>
      <c r="G78" s="10">
        <f>+G45</f>
        <v>0.10589999999999999</v>
      </c>
      <c r="H78" s="7">
        <f>+H28</f>
        <v>287150000</v>
      </c>
      <c r="I78" s="65">
        <f>+G78*H78</f>
        <v>30409185</v>
      </c>
      <c r="K78" s="5">
        <f>'Data for Settlement &amp; 1st TU'!O78</f>
        <v>14561250</v>
      </c>
      <c r="L78" s="94">
        <f t="shared" si="10"/>
        <v>15847935</v>
      </c>
      <c r="M78" s="94"/>
      <c r="N78" s="12"/>
      <c r="O78" s="120"/>
      <c r="U78" s="28"/>
      <c r="V78" s="65"/>
      <c r="W78" s="65"/>
      <c r="X78" s="65"/>
      <c r="Y78" s="12"/>
      <c r="Z78" s="12"/>
      <c r="AA78" s="12"/>
    </row>
    <row r="79" spans="1:27" ht="15.75" thickBot="1" x14ac:dyDescent="0.3">
      <c r="C79" s="7"/>
      <c r="D79" s="24">
        <f>SUM(D76:D78)</f>
        <v>39683863.63636364</v>
      </c>
      <c r="H79" s="7"/>
      <c r="I79" s="24">
        <f>SUM(I76:I78)</f>
        <v>41333088.571911477</v>
      </c>
      <c r="J79" s="28"/>
      <c r="K79" s="24">
        <f t="shared" ref="K79:L79" si="11">SUM(K76:K78)</f>
        <v>20831931.81818182</v>
      </c>
      <c r="L79" s="24">
        <f t="shared" si="11"/>
        <v>20501156.75372966</v>
      </c>
      <c r="M79" s="154"/>
      <c r="N79" s="12"/>
      <c r="O79" s="12"/>
      <c r="V79" s="12"/>
      <c r="W79" s="12"/>
      <c r="X79" s="12"/>
      <c r="Y79" s="12"/>
      <c r="Z79" s="12"/>
      <c r="AA79" s="12"/>
    </row>
    <row r="80" spans="1:27" ht="15.75" thickTop="1" x14ac:dyDescent="0.25">
      <c r="C80" s="7"/>
      <c r="D80" s="28"/>
      <c r="H80" s="7"/>
      <c r="I80" s="28"/>
      <c r="J80" s="28"/>
      <c r="K80" s="28"/>
      <c r="L80" s="65"/>
      <c r="M80" s="154"/>
      <c r="N80" s="12"/>
      <c r="O80" s="12"/>
      <c r="V80" s="12"/>
      <c r="W80" s="12"/>
      <c r="X80" s="12"/>
      <c r="Y80" s="12"/>
      <c r="Z80" s="12"/>
      <c r="AA80" s="12"/>
    </row>
    <row r="81" spans="1:16" x14ac:dyDescent="0.25">
      <c r="A81" s="26" t="s">
        <v>374</v>
      </c>
      <c r="D81" s="5"/>
      <c r="F81" s="26" t="s">
        <v>375</v>
      </c>
      <c r="I81" s="5"/>
      <c r="J81" s="28"/>
      <c r="K81" s="28"/>
      <c r="L81" s="65"/>
      <c r="M81" s="154"/>
      <c r="N81" s="12"/>
      <c r="O81" s="12"/>
    </row>
    <row r="82" spans="1:16" x14ac:dyDescent="0.25">
      <c r="D82" s="5"/>
      <c r="I82" s="5"/>
      <c r="J82" s="28"/>
      <c r="K82" s="28"/>
      <c r="L82" s="28"/>
      <c r="M82" s="7"/>
      <c r="N82" s="374"/>
    </row>
    <row r="83" spans="1:16" x14ac:dyDescent="0.25">
      <c r="A83" s="26"/>
      <c r="B83" s="115" t="s">
        <v>39</v>
      </c>
      <c r="C83" s="57" t="s">
        <v>17</v>
      </c>
      <c r="D83" s="58" t="s">
        <v>40</v>
      </c>
      <c r="F83" s="26"/>
      <c r="G83" s="115" t="s">
        <v>39</v>
      </c>
      <c r="H83" s="57" t="s">
        <v>17</v>
      </c>
      <c r="I83" s="58" t="s">
        <v>40</v>
      </c>
      <c r="J83" s="28"/>
      <c r="K83" s="382"/>
      <c r="L83" s="28"/>
      <c r="M83" s="82"/>
      <c r="P83" s="39"/>
    </row>
    <row r="84" spans="1:16" x14ac:dyDescent="0.25">
      <c r="A84" s="12" t="s">
        <v>291</v>
      </c>
      <c r="B84" s="10">
        <f>+D84/C84</f>
        <v>3.1848807346377295E-2</v>
      </c>
      <c r="C84" s="1">
        <f>+D27</f>
        <v>225000000</v>
      </c>
      <c r="D84" s="163">
        <f>+'Data for Settlement &amp; 1st TU'!I84</f>
        <v>7165981.6529348912</v>
      </c>
      <c r="F84" t="s">
        <v>293</v>
      </c>
      <c r="G84" s="10">
        <f>((+I54+I55+I60)-(I85/(I28/I11)))/I10</f>
        <v>3.194947328395592E-2</v>
      </c>
      <c r="H84" s="1">
        <f>+I27</f>
        <v>214100000</v>
      </c>
      <c r="I84" s="163">
        <f>+G84*H84</f>
        <v>6840382.2300949628</v>
      </c>
      <c r="J84" s="135"/>
      <c r="K84" s="33"/>
      <c r="L84" s="28"/>
      <c r="M84" s="380"/>
      <c r="N84" s="39"/>
      <c r="O84" s="39"/>
      <c r="P84" s="39"/>
    </row>
    <row r="85" spans="1:16" x14ac:dyDescent="0.25">
      <c r="A85" s="12" t="s">
        <v>292</v>
      </c>
      <c r="B85" s="10">
        <f>+D85/C85</f>
        <v>2.7681818181818182E-2</v>
      </c>
      <c r="C85" s="1">
        <f>+D28</f>
        <v>310000000</v>
      </c>
      <c r="D85" s="163">
        <f>+'Data for Settlement &amp; 1st TU'!I85</f>
        <v>8581363.6363636367</v>
      </c>
      <c r="F85" t="s">
        <v>294</v>
      </c>
      <c r="G85" s="10">
        <f>+I85/H85</f>
        <v>2.7763164898064498E-2</v>
      </c>
      <c r="H85" s="1">
        <f>+I28</f>
        <v>322150000</v>
      </c>
      <c r="I85" s="85">
        <v>8943903.5719114784</v>
      </c>
      <c r="J85" s="135"/>
      <c r="K85" s="388"/>
      <c r="L85" s="28"/>
      <c r="M85" s="380"/>
      <c r="N85" s="39"/>
      <c r="O85" s="29"/>
      <c r="P85" s="39"/>
    </row>
    <row r="86" spans="1:16" ht="15.75" thickBot="1" x14ac:dyDescent="0.3">
      <c r="B86" s="88">
        <f>+D86/C86</f>
        <v>2.9434290260371077E-2</v>
      </c>
      <c r="C86" s="89">
        <f>SUM(C84:C85)</f>
        <v>535000000</v>
      </c>
      <c r="D86" s="86">
        <f>+D84+D85</f>
        <v>15747345.289298527</v>
      </c>
      <c r="G86" s="88">
        <f>+I86/H86</f>
        <v>2.9434565598147212E-2</v>
      </c>
      <c r="H86" s="89">
        <f>SUM(H84:H85)</f>
        <v>536250000</v>
      </c>
      <c r="I86" s="86">
        <f>+I84+I85</f>
        <v>15784285.802006442</v>
      </c>
      <c r="J86" s="135"/>
      <c r="K86" s="7"/>
      <c r="L86" s="34"/>
      <c r="M86" s="381"/>
      <c r="N86" s="28"/>
      <c r="O86" s="5"/>
    </row>
    <row r="87" spans="1:16" ht="15.75" thickTop="1" x14ac:dyDescent="0.25">
      <c r="G87" s="83"/>
      <c r="H87" s="217"/>
      <c r="I87" s="7"/>
      <c r="J87" s="28"/>
      <c r="K87" s="28"/>
      <c r="L87" s="387"/>
      <c r="N87" s="7"/>
    </row>
    <row r="88" spans="1:16" ht="145.5" customHeight="1" x14ac:dyDescent="0.25">
      <c r="C88" s="7"/>
      <c r="D88" s="28"/>
      <c r="F88" s="440" t="s">
        <v>358</v>
      </c>
      <c r="G88" s="440"/>
      <c r="H88" s="440"/>
      <c r="I88" s="440"/>
      <c r="J88" s="28"/>
      <c r="K88" s="131"/>
      <c r="L88" s="382"/>
      <c r="M88" s="136"/>
    </row>
    <row r="89" spans="1:16" x14ac:dyDescent="0.25">
      <c r="F89" s="441"/>
      <c r="G89" s="441"/>
      <c r="H89" s="441"/>
      <c r="I89" s="441"/>
      <c r="L89" s="376"/>
    </row>
    <row r="90" spans="1:16" x14ac:dyDescent="0.25">
      <c r="F90" s="441"/>
      <c r="G90" s="441"/>
      <c r="H90" s="441"/>
      <c r="I90" s="441"/>
    </row>
    <row r="92" spans="1:16" x14ac:dyDescent="0.25">
      <c r="F92" s="102"/>
      <c r="G92" s="102"/>
      <c r="H92" s="102"/>
      <c r="I92" s="102"/>
    </row>
    <row r="93" spans="1:16" x14ac:dyDescent="0.25">
      <c r="F93" s="108"/>
      <c r="G93" s="109"/>
      <c r="H93" s="110"/>
      <c r="I93" s="66"/>
      <c r="K93" s="74"/>
    </row>
    <row r="94" spans="1:16" x14ac:dyDescent="0.25">
      <c r="F94" s="102"/>
      <c r="G94" s="78"/>
      <c r="H94" s="106"/>
      <c r="I94" s="65"/>
      <c r="K94" s="84"/>
    </row>
    <row r="95" spans="1:16" x14ac:dyDescent="0.25">
      <c r="F95" s="102"/>
      <c r="G95" s="78"/>
      <c r="H95" s="106"/>
      <c r="I95" s="65"/>
    </row>
    <row r="96" spans="1:16" x14ac:dyDescent="0.25">
      <c r="F96" s="102"/>
      <c r="G96" s="102"/>
      <c r="H96" s="102"/>
      <c r="I96" s="118"/>
    </row>
    <row r="99" spans="9:9" x14ac:dyDescent="0.25">
      <c r="I99" s="1"/>
    </row>
    <row r="100" spans="9:9" x14ac:dyDescent="0.25">
      <c r="I100" s="1"/>
    </row>
    <row r="101" spans="9:9" x14ac:dyDescent="0.25">
      <c r="I101" s="1"/>
    </row>
    <row r="102" spans="9:9" x14ac:dyDescent="0.25">
      <c r="I102" s="1"/>
    </row>
    <row r="103" spans="9:9" x14ac:dyDescent="0.25">
      <c r="I103" s="1"/>
    </row>
    <row r="104" spans="9:9" x14ac:dyDescent="0.25">
      <c r="I104" s="1"/>
    </row>
  </sheetData>
  <mergeCells count="5">
    <mergeCell ref="M8:O8"/>
    <mergeCell ref="P8:R8"/>
    <mergeCell ref="F88:I88"/>
    <mergeCell ref="F90:I90"/>
    <mergeCell ref="F89:I89"/>
  </mergeCells>
  <pageMargins left="0.7" right="0.7" top="0.75" bottom="0.75" header="0.3" footer="0.3"/>
  <pageSetup paperSize="17"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showGridLines="0" topLeftCell="A2" zoomScaleNormal="100" workbookViewId="0">
      <selection sqref="A1:K34"/>
    </sheetView>
  </sheetViews>
  <sheetFormatPr defaultRowHeight="15" x14ac:dyDescent="0.25"/>
  <cols>
    <col min="1" max="1" width="43.5703125" customWidth="1"/>
    <col min="2" max="2" width="11.28515625" customWidth="1"/>
    <col min="3" max="3" width="15.7109375" customWidth="1"/>
    <col min="4" max="4" width="14.855468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81" t="s">
        <v>61</v>
      </c>
    </row>
    <row r="3" spans="1:32" ht="18.75" x14ac:dyDescent="0.3">
      <c r="A3" s="25" t="s">
        <v>261</v>
      </c>
      <c r="M3" s="40"/>
      <c r="N3" s="8"/>
      <c r="O3" s="8"/>
      <c r="P3" s="8"/>
      <c r="Q3" s="8"/>
      <c r="R3" s="8"/>
      <c r="S3" s="8"/>
      <c r="T3" s="8"/>
      <c r="U3" s="8"/>
      <c r="V3" s="40"/>
      <c r="W3" s="8"/>
      <c r="X3" s="8"/>
      <c r="Y3" s="8"/>
      <c r="Z3" s="8"/>
      <c r="AA3" s="8"/>
      <c r="AB3" s="8"/>
      <c r="AC3" s="8"/>
      <c r="AD3" s="8"/>
      <c r="AE3" s="8"/>
      <c r="AF3" s="8"/>
    </row>
    <row r="4" spans="1:32" x14ac:dyDescent="0.25">
      <c r="A4" s="11"/>
      <c r="M4" s="30"/>
      <c r="N4" s="8"/>
      <c r="O4" s="8"/>
      <c r="P4" s="8"/>
      <c r="Q4" s="8"/>
      <c r="R4" s="8"/>
      <c r="S4" s="8"/>
      <c r="T4" s="8"/>
      <c r="U4" s="8"/>
      <c r="V4" s="30"/>
      <c r="W4" s="8"/>
      <c r="X4" s="8"/>
      <c r="Y4" s="8"/>
      <c r="Z4" s="8"/>
      <c r="AA4" s="8"/>
      <c r="AB4" s="8"/>
      <c r="AC4" s="8"/>
      <c r="AD4" s="8"/>
      <c r="AE4" s="8"/>
      <c r="AF4" s="8"/>
    </row>
    <row r="5" spans="1:32" x14ac:dyDescent="0.25">
      <c r="A5" s="11" t="s">
        <v>272</v>
      </c>
      <c r="M5" s="30"/>
      <c r="N5" s="8"/>
      <c r="O5" s="8"/>
      <c r="P5" s="8"/>
      <c r="Q5" s="8"/>
      <c r="R5" s="8"/>
      <c r="S5" s="8"/>
      <c r="T5" s="8"/>
      <c r="U5" s="8"/>
      <c r="V5" s="30"/>
      <c r="W5" s="8"/>
      <c r="X5" s="8"/>
      <c r="Y5" s="8"/>
      <c r="Z5" s="8"/>
      <c r="AA5" s="8"/>
      <c r="AB5" s="8"/>
      <c r="AC5" s="8"/>
      <c r="AD5" s="8"/>
      <c r="AE5" s="8"/>
      <c r="AF5" s="8"/>
    </row>
    <row r="6" spans="1:32" ht="45" x14ac:dyDescent="0.25">
      <c r="A6" s="45" t="s">
        <v>38</v>
      </c>
      <c r="B6" s="46" t="s">
        <v>372</v>
      </c>
      <c r="C6" s="47" t="s">
        <v>71</v>
      </c>
      <c r="D6" s="46" t="s">
        <v>32</v>
      </c>
      <c r="E6" s="47" t="s">
        <v>30</v>
      </c>
      <c r="F6" s="46" t="s">
        <v>10</v>
      </c>
      <c r="G6" s="46" t="s">
        <v>17</v>
      </c>
      <c r="H6" s="47" t="s">
        <v>82</v>
      </c>
      <c r="I6" s="47" t="s">
        <v>78</v>
      </c>
      <c r="J6" s="47" t="s">
        <v>80</v>
      </c>
      <c r="K6" s="47" t="s">
        <v>185</v>
      </c>
      <c r="M6" s="30"/>
      <c r="N6" s="35"/>
      <c r="O6" s="35"/>
      <c r="P6" s="35"/>
      <c r="Q6" s="41"/>
      <c r="R6" s="30"/>
      <c r="S6" s="35"/>
      <c r="T6" s="36"/>
      <c r="U6" s="8"/>
      <c r="V6" s="30"/>
      <c r="W6" s="35"/>
      <c r="X6" s="35"/>
      <c r="Y6" s="35"/>
      <c r="Z6" s="41"/>
      <c r="AA6" s="30"/>
      <c r="AB6" s="35"/>
      <c r="AC6" s="36"/>
      <c r="AD6" s="8"/>
      <c r="AE6" s="8"/>
      <c r="AF6" s="8"/>
    </row>
    <row r="7" spans="1:32" x14ac:dyDescent="0.25">
      <c r="A7" s="48" t="s">
        <v>2</v>
      </c>
      <c r="B7" s="50">
        <f>+'Data for 2nd TU'!D33</f>
        <v>7.6999999999999999E-2</v>
      </c>
      <c r="C7" s="50">
        <f>+'Data for 2nd TU'!$B$43</f>
        <v>3.1848807346377295E-2</v>
      </c>
      <c r="D7" s="50">
        <f>+'Data for 2nd TU'!$B$48</f>
        <v>8.8359370314842575E-2</v>
      </c>
      <c r="E7" s="50">
        <f>+C7+D7</f>
        <v>0.12020817766121987</v>
      </c>
      <c r="F7" s="51">
        <f>+B7-E7</f>
        <v>-4.3208177661219871E-2</v>
      </c>
      <c r="G7" s="20">
        <f>'Data for 2nd TU'!C16</f>
        <v>5002500</v>
      </c>
      <c r="H7" s="4">
        <f>+G7*B7</f>
        <v>385192.5</v>
      </c>
      <c r="I7" s="4">
        <f>+G7*C7</f>
        <v>159323.65875025242</v>
      </c>
      <c r="J7" s="4">
        <f>+G7*D7</f>
        <v>442017.75</v>
      </c>
      <c r="K7" s="4">
        <f>+H7-I7-J7</f>
        <v>-216148.90875025242</v>
      </c>
      <c r="M7" s="8"/>
      <c r="N7" s="37"/>
      <c r="O7" s="42"/>
      <c r="P7" s="42"/>
      <c r="Q7" s="42"/>
      <c r="R7" s="43"/>
      <c r="S7" s="38"/>
      <c r="T7" s="28"/>
      <c r="U7" s="8"/>
      <c r="V7" s="8"/>
      <c r="W7" s="42"/>
      <c r="X7" s="42"/>
      <c r="Y7" s="42"/>
      <c r="Z7" s="42"/>
      <c r="AA7" s="43"/>
      <c r="AB7" s="38"/>
      <c r="AC7" s="28"/>
      <c r="AD7" s="34"/>
      <c r="AE7" s="8"/>
      <c r="AF7" s="8"/>
    </row>
    <row r="8" spans="1:32" x14ac:dyDescent="0.25">
      <c r="A8" s="52" t="s">
        <v>3</v>
      </c>
      <c r="B8" s="42">
        <f>+'Data for 2nd TU'!D34</f>
        <v>8.8999999999999996E-2</v>
      </c>
      <c r="C8" s="42">
        <f>+'Data for 2nd TU'!$B$43</f>
        <v>3.1848807346377295E-2</v>
      </c>
      <c r="D8" s="42">
        <f>+'Data for 2nd TU'!$B$48</f>
        <v>8.8359370314842575E-2</v>
      </c>
      <c r="E8" s="42">
        <f t="shared" ref="E8:E11" si="0">+C8+D8</f>
        <v>0.12020817766121987</v>
      </c>
      <c r="F8" s="43">
        <f t="shared" ref="F8:F11" si="1">+B8-E8</f>
        <v>-3.1208177661219874E-2</v>
      </c>
      <c r="G8" s="20">
        <f>'Data for 2nd TU'!C17</f>
        <v>7003500</v>
      </c>
      <c r="H8" s="4">
        <f t="shared" ref="H8:H11" si="2">+G8*B8</f>
        <v>623311.5</v>
      </c>
      <c r="I8" s="4">
        <f t="shared" ref="I8:I11" si="3">+G8*C8</f>
        <v>223053.12225035339</v>
      </c>
      <c r="J8" s="4">
        <f t="shared" ref="J8:J11" si="4">+G8*D8</f>
        <v>618824.85</v>
      </c>
      <c r="K8" s="4">
        <f t="shared" ref="K8:K11" si="5">+H8-I8-J8</f>
        <v>-218566.47225035337</v>
      </c>
      <c r="M8" s="8"/>
      <c r="N8" s="37"/>
      <c r="O8" s="42"/>
      <c r="P8" s="42"/>
      <c r="Q8" s="42"/>
      <c r="R8" s="43"/>
      <c r="S8" s="38"/>
      <c r="T8" s="28"/>
      <c r="U8" s="8"/>
      <c r="V8" s="8"/>
      <c r="W8" s="42"/>
      <c r="X8" s="42"/>
      <c r="Y8" s="42"/>
      <c r="Z8" s="42"/>
      <c r="AA8" s="43"/>
      <c r="AB8" s="38"/>
      <c r="AC8" s="28"/>
      <c r="AD8" s="34"/>
      <c r="AE8" s="8"/>
      <c r="AF8" s="8"/>
    </row>
    <row r="9" spans="1:32" x14ac:dyDescent="0.25">
      <c r="A9" s="52" t="s">
        <v>4</v>
      </c>
      <c r="B9" s="42">
        <f>+'Data for 2nd TU'!D35</f>
        <v>6.5000000000000002E-2</v>
      </c>
      <c r="C9" s="42">
        <f>+'Data for 2nd TU'!$B$43</f>
        <v>3.1848807346377295E-2</v>
      </c>
      <c r="D9" s="42">
        <f>+'Data for 2nd TU'!$B$48</f>
        <v>8.8359370314842575E-2</v>
      </c>
      <c r="E9" s="42">
        <f t="shared" si="0"/>
        <v>0.12020817766121987</v>
      </c>
      <c r="F9" s="43">
        <f t="shared" si="1"/>
        <v>-5.5208177661219868E-2</v>
      </c>
      <c r="G9" s="20">
        <f>'Data for 2nd TU'!C18</f>
        <v>100050000</v>
      </c>
      <c r="H9" s="4">
        <f t="shared" si="2"/>
        <v>6503250</v>
      </c>
      <c r="I9" s="4">
        <f t="shared" si="3"/>
        <v>3186473.1750050485</v>
      </c>
      <c r="J9" s="4">
        <f t="shared" si="4"/>
        <v>8840355</v>
      </c>
      <c r="K9" s="4">
        <f t="shared" si="5"/>
        <v>-5523578.1750050485</v>
      </c>
      <c r="M9" s="8"/>
      <c r="N9" s="37"/>
      <c r="O9" s="42"/>
      <c r="P9" s="42"/>
      <c r="Q9" s="42"/>
      <c r="R9" s="43"/>
      <c r="S9" s="38"/>
      <c r="T9" s="28"/>
      <c r="U9" s="8"/>
      <c r="V9" s="8"/>
      <c r="W9" s="42"/>
      <c r="X9" s="42"/>
      <c r="Y9" s="42"/>
      <c r="Z9" s="42"/>
      <c r="AA9" s="43"/>
      <c r="AB9" s="38"/>
      <c r="AC9" s="28"/>
      <c r="AD9" s="34"/>
      <c r="AE9" s="8"/>
      <c r="AF9" s="8"/>
    </row>
    <row r="10" spans="1:32" x14ac:dyDescent="0.25">
      <c r="A10" s="52" t="s">
        <v>6</v>
      </c>
      <c r="B10" s="42">
        <f>+'Data for 2nd TU'!D36</f>
        <v>9.4E-2</v>
      </c>
      <c r="C10" s="42">
        <f>+'Data for 2nd TU'!$B$43</f>
        <v>3.1848807346377295E-2</v>
      </c>
      <c r="D10" s="42">
        <f>+'Data for 2nd TU'!$B$48</f>
        <v>8.8359370314842575E-2</v>
      </c>
      <c r="E10" s="42">
        <f t="shared" si="0"/>
        <v>0.12020817766121987</v>
      </c>
      <c r="F10" s="43">
        <f t="shared" si="1"/>
        <v>-2.620817766121987E-2</v>
      </c>
      <c r="G10" s="20">
        <f>'Data for 2nd TU'!C19</f>
        <v>50025000</v>
      </c>
      <c r="H10" s="4">
        <f t="shared" si="2"/>
        <v>4702350</v>
      </c>
      <c r="I10" s="4">
        <f t="shared" si="3"/>
        <v>1593236.5875025243</v>
      </c>
      <c r="J10" s="4">
        <f t="shared" si="4"/>
        <v>4420177.5</v>
      </c>
      <c r="K10" s="4">
        <f t="shared" si="5"/>
        <v>-1311064.0875025243</v>
      </c>
      <c r="M10" s="8"/>
      <c r="N10" s="37"/>
      <c r="O10" s="42"/>
      <c r="P10" s="42"/>
      <c r="Q10" s="42"/>
      <c r="R10" s="43"/>
      <c r="S10" s="38"/>
      <c r="T10" s="28"/>
      <c r="U10" s="8"/>
      <c r="V10" s="8"/>
      <c r="W10" s="42"/>
      <c r="X10" s="42"/>
      <c r="Y10" s="42"/>
      <c r="Z10" s="42"/>
      <c r="AA10" s="43"/>
      <c r="AB10" s="38"/>
      <c r="AC10" s="28"/>
      <c r="AD10" s="34"/>
      <c r="AE10" s="8"/>
      <c r="AF10" s="8"/>
    </row>
    <row r="11" spans="1:32" x14ac:dyDescent="0.25">
      <c r="A11" s="53" t="s">
        <v>5</v>
      </c>
      <c r="B11" s="55">
        <f>+'Data for 2nd TU'!D37</f>
        <v>0.13200000000000001</v>
      </c>
      <c r="C11" s="55">
        <f>+'Data for 2nd TU'!$B$43</f>
        <v>3.1848807346377295E-2</v>
      </c>
      <c r="D11" s="55">
        <f>+'Data for 2nd TU'!$B$48</f>
        <v>8.8359370314842575E-2</v>
      </c>
      <c r="E11" s="55">
        <f t="shared" si="0"/>
        <v>0.12020817766121987</v>
      </c>
      <c r="F11" s="56">
        <f t="shared" si="1"/>
        <v>1.1791822338780136E-2</v>
      </c>
      <c r="G11" s="20">
        <f>'Data for 2nd TU'!C20</f>
        <v>63031500.000000007</v>
      </c>
      <c r="H11" s="4">
        <f t="shared" si="2"/>
        <v>8320158.0000000009</v>
      </c>
      <c r="I11" s="4">
        <f t="shared" si="3"/>
        <v>2007478.1002531806</v>
      </c>
      <c r="J11" s="4">
        <f t="shared" si="4"/>
        <v>5569423.6500000004</v>
      </c>
      <c r="K11" s="4">
        <f t="shared" si="5"/>
        <v>743256.24974681996</v>
      </c>
      <c r="M11" s="8"/>
      <c r="N11" s="37"/>
      <c r="O11" s="42"/>
      <c r="P11" s="42"/>
      <c r="Q11" s="42"/>
      <c r="R11" s="43"/>
      <c r="S11" s="38"/>
      <c r="T11" s="28"/>
      <c r="U11" s="8"/>
      <c r="V11" s="8"/>
      <c r="W11" s="42"/>
      <c r="X11" s="42"/>
      <c r="Y11" s="42"/>
      <c r="Z11" s="42"/>
      <c r="AA11" s="43"/>
      <c r="AB11" s="38"/>
      <c r="AC11" s="28"/>
      <c r="AD11" s="34"/>
      <c r="AE11" s="8"/>
      <c r="AF11" s="8"/>
    </row>
    <row r="12" spans="1:32" ht="15.75" thickBot="1" x14ac:dyDescent="0.3">
      <c r="B12" s="124">
        <f>+H12/G12</f>
        <v>9.1217777777777773E-2</v>
      </c>
      <c r="G12" s="18">
        <f>SUM(G7:G11)</f>
        <v>225112500</v>
      </c>
      <c r="H12" s="24">
        <f t="shared" ref="H12:J12" si="6">SUM(H7:H11)</f>
        <v>20534262</v>
      </c>
      <c r="I12" s="24">
        <f t="shared" si="6"/>
        <v>7169564.6437613592</v>
      </c>
      <c r="J12" s="24">
        <f t="shared" si="6"/>
        <v>19890798.75</v>
      </c>
      <c r="K12" s="61">
        <f>SUM(K7:K11)</f>
        <v>-6526101.3937613582</v>
      </c>
      <c r="M12" s="8"/>
      <c r="N12" s="8"/>
      <c r="O12" s="8"/>
      <c r="P12" s="8"/>
      <c r="Q12" s="28"/>
      <c r="R12" s="28"/>
      <c r="S12" s="33"/>
      <c r="T12" s="28"/>
      <c r="U12" s="8"/>
      <c r="V12" s="8"/>
      <c r="W12" s="8"/>
      <c r="X12" s="8"/>
      <c r="Y12" s="8"/>
      <c r="Z12" s="28"/>
      <c r="AA12" s="28"/>
      <c r="AB12" s="33"/>
      <c r="AC12" s="28"/>
      <c r="AD12" s="34"/>
      <c r="AE12" s="8"/>
      <c r="AF12" s="8"/>
    </row>
    <row r="13" spans="1:32" x14ac:dyDescent="0.25">
      <c r="M13" s="8"/>
      <c r="N13" s="8"/>
      <c r="O13" s="8"/>
      <c r="P13" s="8"/>
      <c r="Q13" s="8"/>
      <c r="R13" s="8"/>
      <c r="S13" s="8"/>
      <c r="T13" s="8"/>
      <c r="U13" s="8"/>
      <c r="V13" s="8"/>
      <c r="W13" s="8"/>
      <c r="X13" s="8"/>
      <c r="Y13" s="8"/>
      <c r="Z13" s="8"/>
      <c r="AA13" s="8"/>
      <c r="AB13" s="8"/>
      <c r="AC13" s="8"/>
      <c r="AD13" s="8"/>
      <c r="AE13" s="8"/>
      <c r="AF13" s="8"/>
    </row>
    <row r="14" spans="1:32" ht="18.75" x14ac:dyDescent="0.3">
      <c r="A14" s="25" t="s">
        <v>265</v>
      </c>
      <c r="M14" s="30"/>
      <c r="N14" s="8"/>
      <c r="O14" s="8"/>
      <c r="P14" s="8"/>
      <c r="Q14" s="8"/>
      <c r="R14" s="8"/>
      <c r="S14" s="8"/>
      <c r="T14" s="8"/>
      <c r="U14" s="8"/>
      <c r="V14" s="30"/>
      <c r="W14" s="8"/>
      <c r="X14" s="8"/>
      <c r="Y14" s="8"/>
      <c r="Z14" s="8"/>
      <c r="AA14" s="44"/>
      <c r="AB14" s="8"/>
      <c r="AC14" s="8"/>
      <c r="AD14" s="8"/>
      <c r="AE14" s="8"/>
      <c r="AF14" s="8"/>
    </row>
    <row r="15" spans="1:32" x14ac:dyDescent="0.25">
      <c r="A15" s="11"/>
      <c r="M15" s="30"/>
      <c r="N15" s="31"/>
      <c r="O15" s="31"/>
      <c r="P15" s="31"/>
      <c r="Q15" s="31"/>
      <c r="R15" s="31"/>
      <c r="S15" s="15"/>
      <c r="T15" s="15"/>
      <c r="V15" s="30"/>
      <c r="W15" s="31"/>
      <c r="X15" s="31"/>
      <c r="Y15" s="31"/>
      <c r="AA15" s="29"/>
    </row>
    <row r="16" spans="1:32" x14ac:dyDescent="0.25">
      <c r="A16" s="11" t="s">
        <v>273</v>
      </c>
      <c r="M16" s="8"/>
      <c r="N16" s="32"/>
      <c r="O16" s="33"/>
      <c r="P16" s="28"/>
      <c r="Q16" s="28"/>
      <c r="R16" s="28"/>
      <c r="S16" s="4"/>
      <c r="T16" s="4"/>
      <c r="V16" s="8"/>
      <c r="W16" s="32"/>
      <c r="X16" s="33"/>
      <c r="Y16" s="28"/>
      <c r="AA16" s="29"/>
    </row>
    <row r="17" spans="1:27" ht="30" x14ac:dyDescent="0.25">
      <c r="A17" s="45" t="s">
        <v>38</v>
      </c>
      <c r="B17" s="46" t="s">
        <v>372</v>
      </c>
      <c r="C17" s="47" t="s">
        <v>86</v>
      </c>
      <c r="D17" s="46" t="s">
        <v>32</v>
      </c>
      <c r="E17" s="47" t="s">
        <v>30</v>
      </c>
      <c r="F17" s="46" t="s">
        <v>10</v>
      </c>
      <c r="G17" s="46" t="s">
        <v>17</v>
      </c>
      <c r="H17" s="47" t="s">
        <v>187</v>
      </c>
      <c r="I17" s="47" t="s">
        <v>79</v>
      </c>
      <c r="J17" s="47" t="s">
        <v>80</v>
      </c>
      <c r="K17" s="47" t="s">
        <v>188</v>
      </c>
      <c r="M17" s="8"/>
      <c r="N17" s="32"/>
      <c r="O17" s="33"/>
      <c r="P17" s="28"/>
      <c r="Q17" s="28"/>
      <c r="R17" s="28"/>
      <c r="S17" s="4"/>
      <c r="T17" s="4"/>
      <c r="V17" s="8"/>
      <c r="W17" s="32"/>
      <c r="X17" s="33"/>
      <c r="Y17" s="28"/>
      <c r="AA17" s="29"/>
    </row>
    <row r="18" spans="1:27" x14ac:dyDescent="0.25">
      <c r="A18" s="48" t="s">
        <v>2</v>
      </c>
      <c r="B18" s="50">
        <f>+'Data for 2nd TU'!I33</f>
        <v>7.6999999999999999E-2</v>
      </c>
      <c r="C18" s="50">
        <f>+'Data for 2nd TU'!$G$43</f>
        <v>3.194947328395592E-2</v>
      </c>
      <c r="D18" s="50">
        <f>+'Data for 2nd TU'!$G$48</f>
        <v>8.8359370314842575E-2</v>
      </c>
      <c r="E18" s="50">
        <f>+C18+D18</f>
        <v>0.1203088435987985</v>
      </c>
      <c r="F18" s="51">
        <f>+B18-E18</f>
        <v>-4.3308843598798497E-2</v>
      </c>
      <c r="G18" s="20">
        <f>'Data for 2nd TU'!H16</f>
        <v>4431348.4251968507</v>
      </c>
      <c r="H18" s="4">
        <f>+G18*B18</f>
        <v>341213.82874015748</v>
      </c>
      <c r="I18" s="4">
        <f>+G18*C18</f>
        <v>141579.24812272692</v>
      </c>
      <c r="J18" s="4">
        <f>+G18*D18</f>
        <v>391551.15649606299</v>
      </c>
      <c r="K18" s="4">
        <f>+H18-I18-J18</f>
        <v>-191916.57587863243</v>
      </c>
      <c r="M18" s="8"/>
      <c r="N18" s="8"/>
      <c r="O18" s="8"/>
      <c r="P18" s="28"/>
      <c r="Q18" s="28"/>
      <c r="R18" s="28"/>
      <c r="S18" s="28"/>
      <c r="T18" s="28"/>
      <c r="V18" s="8"/>
      <c r="W18" s="8"/>
      <c r="X18" s="8"/>
      <c r="Y18" s="28"/>
      <c r="AA18" s="29"/>
    </row>
    <row r="19" spans="1:27" x14ac:dyDescent="0.25">
      <c r="A19" s="52" t="s">
        <v>3</v>
      </c>
      <c r="B19" s="42">
        <f>+'Data for 2nd TU'!I34</f>
        <v>8.8999999999999996E-2</v>
      </c>
      <c r="C19" s="42">
        <f>+'Data for 2nd TU'!$G$43</f>
        <v>3.194947328395592E-2</v>
      </c>
      <c r="D19" s="42">
        <f>+'Data for 2nd TU'!$G$48</f>
        <v>8.8359370314842575E-2</v>
      </c>
      <c r="E19" s="42">
        <f t="shared" ref="E19:E22" si="7">+C19+D19</f>
        <v>0.1203088435987985</v>
      </c>
      <c r="F19" s="43">
        <f t="shared" ref="F19:F22" si="8">+B19-E19</f>
        <v>-3.13088435987985E-2</v>
      </c>
      <c r="G19" s="20">
        <f>'Data for 2nd TU'!H17</f>
        <v>8173375.9842519695</v>
      </c>
      <c r="H19" s="4">
        <f t="shared" ref="H19:H22" si="9">+G19*B19</f>
        <v>727430.46259842522</v>
      </c>
      <c r="I19" s="4">
        <f t="shared" ref="I19:I22" si="10">+G19*C19</f>
        <v>261135.05764858524</v>
      </c>
      <c r="J19" s="4">
        <f t="shared" ref="J19:J22" si="11">+G19*D19</f>
        <v>722194.3553149607</v>
      </c>
      <c r="K19" s="4">
        <f t="shared" ref="K19:K22" si="12">+H19-I19-J19</f>
        <v>-255898.95036512072</v>
      </c>
      <c r="M19" s="8"/>
      <c r="N19" s="8"/>
      <c r="O19" s="8"/>
      <c r="P19" s="8"/>
      <c r="Q19" s="8"/>
      <c r="R19" s="8"/>
      <c r="V19" s="8"/>
      <c r="W19" s="8"/>
      <c r="X19" s="8"/>
      <c r="Y19" s="8"/>
      <c r="AA19" s="29"/>
    </row>
    <row r="20" spans="1:27" x14ac:dyDescent="0.25">
      <c r="A20" s="52" t="s">
        <v>4</v>
      </c>
      <c r="B20" s="42">
        <f>+'Data for 2nd TU'!I35</f>
        <v>6.5000000000000002E-2</v>
      </c>
      <c r="C20" s="42">
        <f>+'Data for 2nd TU'!$G$43</f>
        <v>3.194947328395592E-2</v>
      </c>
      <c r="D20" s="42">
        <f>+'Data for 2nd TU'!$G$48</f>
        <v>8.8359370314842575E-2</v>
      </c>
      <c r="E20" s="42">
        <f t="shared" si="7"/>
        <v>0.1203088435987985</v>
      </c>
      <c r="F20" s="43">
        <f t="shared" si="8"/>
        <v>-5.5308843598798493E-2</v>
      </c>
      <c r="G20" s="20">
        <f>'Data for 2nd TU'!H18</f>
        <v>87625623.735935748</v>
      </c>
      <c r="H20" s="4">
        <f t="shared" si="9"/>
        <v>5695665.5428358242</v>
      </c>
      <c r="I20" s="4">
        <f t="shared" si="10"/>
        <v>2799592.5245412528</v>
      </c>
      <c r="J20" s="4">
        <f t="shared" si="11"/>
        <v>7742544.9367526062</v>
      </c>
      <c r="K20" s="4">
        <f t="shared" si="12"/>
        <v>-4846471.9184580352</v>
      </c>
      <c r="M20" s="30"/>
      <c r="N20" s="8"/>
      <c r="O20" s="8"/>
      <c r="P20" s="8"/>
      <c r="Q20" s="8"/>
      <c r="R20" s="8"/>
      <c r="V20" s="30"/>
      <c r="W20" s="8"/>
      <c r="X20" s="8"/>
      <c r="Y20" s="8"/>
    </row>
    <row r="21" spans="1:27" x14ac:dyDescent="0.25">
      <c r="A21" s="52" t="s">
        <v>6</v>
      </c>
      <c r="B21" s="42">
        <f>+'Data for 2nd TU'!I36</f>
        <v>9.4E-2</v>
      </c>
      <c r="C21" s="42">
        <f>+'Data for 2nd TU'!$G$43</f>
        <v>3.194947328395592E-2</v>
      </c>
      <c r="D21" s="42">
        <f>+'Data for 2nd TU'!$G$48</f>
        <v>8.8359370314842575E-2</v>
      </c>
      <c r="E21" s="42">
        <f t="shared" si="7"/>
        <v>0.1203088435987985</v>
      </c>
      <c r="F21" s="43">
        <f t="shared" si="8"/>
        <v>-2.6308843598798495E-2</v>
      </c>
      <c r="G21" s="20">
        <f>'Data for 2nd TU'!H19</f>
        <v>53176181.102362216</v>
      </c>
      <c r="H21" s="4">
        <f t="shared" si="9"/>
        <v>4998561.0236220481</v>
      </c>
      <c r="I21" s="4">
        <f t="shared" si="10"/>
        <v>1698950.9774727232</v>
      </c>
      <c r="J21" s="4">
        <f t="shared" si="11"/>
        <v>4698613.8779527564</v>
      </c>
      <c r="K21" s="4">
        <f t="shared" si="12"/>
        <v>-1399003.8318034317</v>
      </c>
      <c r="M21" s="8"/>
      <c r="N21" s="8"/>
      <c r="O21" s="8"/>
      <c r="P21" s="34"/>
      <c r="Q21" s="34"/>
      <c r="R21" s="34"/>
      <c r="S21" s="5"/>
      <c r="T21" s="5"/>
      <c r="V21" s="8"/>
      <c r="W21" s="8"/>
      <c r="X21" s="8"/>
      <c r="Y21" s="34"/>
    </row>
    <row r="22" spans="1:27" x14ac:dyDescent="0.25">
      <c r="A22" s="53" t="s">
        <v>5</v>
      </c>
      <c r="B22" s="55">
        <f>+'Data for 2nd TU'!I37</f>
        <v>0.13200000000000001</v>
      </c>
      <c r="C22" s="55">
        <f>+'Data for 2nd TU'!$G$43</f>
        <v>3.194947328395592E-2</v>
      </c>
      <c r="D22" s="55">
        <f>+'Data for 2nd TU'!$G$48</f>
        <v>8.8359370314842575E-2</v>
      </c>
      <c r="E22" s="55">
        <f t="shared" si="7"/>
        <v>0.1203088435987985</v>
      </c>
      <c r="F22" s="56">
        <f t="shared" si="8"/>
        <v>1.1691156401201511E-2</v>
      </c>
      <c r="G22" s="20">
        <f>'Data for 2nd TU'!H20</f>
        <v>60266338.582677171</v>
      </c>
      <c r="H22" s="4">
        <f t="shared" si="9"/>
        <v>7955156.692913387</v>
      </c>
      <c r="I22" s="4">
        <f t="shared" si="10"/>
        <v>1925477.7744690862</v>
      </c>
      <c r="J22" s="4">
        <f t="shared" si="11"/>
        <v>5325095.7283464568</v>
      </c>
      <c r="K22" s="4">
        <f t="shared" si="12"/>
        <v>704583.19009784423</v>
      </c>
      <c r="M22" s="8"/>
      <c r="N22" s="8"/>
      <c r="O22" s="8"/>
      <c r="P22" s="34"/>
      <c r="Q22" s="34"/>
      <c r="R22" s="34"/>
      <c r="S22" s="5"/>
      <c r="T22" s="5"/>
      <c r="V22" s="8"/>
      <c r="W22" s="8"/>
      <c r="X22" s="8"/>
      <c r="Y22" s="34"/>
    </row>
    <row r="23" spans="1:27" ht="15.75" thickBot="1" x14ac:dyDescent="0.3">
      <c r="B23" s="124">
        <f>+H23/G23</f>
        <v>9.2281382053422692E-2</v>
      </c>
      <c r="G23" s="18">
        <f>SUM(G18:G22)</f>
        <v>213672867.83042395</v>
      </c>
      <c r="H23" s="61">
        <f t="shared" ref="H23:J23" si="13">SUM(H18:H22)</f>
        <v>19718027.550709844</v>
      </c>
      <c r="I23" s="24">
        <f t="shared" si="13"/>
        <v>6826735.5822543744</v>
      </c>
      <c r="J23" s="24">
        <f t="shared" si="13"/>
        <v>18880000.054862842</v>
      </c>
      <c r="K23" s="24">
        <f>SUM(K18:K22)</f>
        <v>-5988708.0864073755</v>
      </c>
      <c r="M23" s="8"/>
      <c r="N23" s="8"/>
      <c r="O23" s="8"/>
      <c r="P23" s="28"/>
      <c r="Q23" s="28"/>
      <c r="R23" s="28"/>
      <c r="S23" s="28"/>
      <c r="T23" s="28"/>
      <c r="V23" s="8"/>
      <c r="W23" s="8"/>
      <c r="X23" s="8"/>
      <c r="Y23" s="28"/>
    </row>
    <row r="24" spans="1:27" x14ac:dyDescent="0.25">
      <c r="A24" s="8"/>
      <c r="B24" s="8"/>
      <c r="C24" s="8"/>
      <c r="D24" s="8"/>
      <c r="E24" s="8"/>
      <c r="M24" s="33"/>
      <c r="N24" s="8"/>
      <c r="O24" s="8"/>
      <c r="P24" s="8"/>
      <c r="Q24" s="8"/>
      <c r="R24" s="8"/>
      <c r="V24" s="8"/>
      <c r="W24" s="8"/>
      <c r="X24" s="8"/>
      <c r="Y24" s="8"/>
    </row>
    <row r="25" spans="1:27" ht="18.75" x14ac:dyDescent="0.3">
      <c r="A25" s="25" t="s">
        <v>143</v>
      </c>
      <c r="M25" s="73"/>
      <c r="N25" s="8"/>
      <c r="O25" s="8"/>
      <c r="P25" s="8"/>
      <c r="Q25" s="8"/>
      <c r="R25" s="8"/>
      <c r="V25" s="8"/>
      <c r="W25" s="8"/>
      <c r="X25" s="8"/>
      <c r="Y25" s="8"/>
    </row>
    <row r="26" spans="1:27" ht="18.75" x14ac:dyDescent="0.3">
      <c r="A26" s="25"/>
      <c r="M26" s="73"/>
      <c r="N26" s="8"/>
      <c r="O26" s="8"/>
      <c r="P26" s="8"/>
      <c r="Q26" s="8"/>
      <c r="R26" s="8"/>
      <c r="V26" s="8"/>
      <c r="W26" s="8"/>
      <c r="X26" s="8"/>
      <c r="Y26" s="8"/>
    </row>
    <row r="27" spans="1:27" x14ac:dyDescent="0.25">
      <c r="A27" s="11" t="s">
        <v>274</v>
      </c>
      <c r="M27" s="73"/>
      <c r="N27" s="8"/>
      <c r="O27" s="8"/>
      <c r="P27" s="8"/>
      <c r="Q27" s="8"/>
      <c r="R27" s="8"/>
      <c r="V27" s="8"/>
      <c r="W27" s="8"/>
      <c r="X27" s="8"/>
      <c r="Y27" s="8"/>
    </row>
    <row r="28" spans="1:27" ht="45" x14ac:dyDescent="0.25">
      <c r="A28" s="75" t="s">
        <v>60</v>
      </c>
      <c r="B28" s="46" t="s">
        <v>372</v>
      </c>
      <c r="C28" s="47" t="s">
        <v>77</v>
      </c>
      <c r="D28" s="47" t="s">
        <v>58</v>
      </c>
      <c r="E28" s="47" t="s">
        <v>30</v>
      </c>
      <c r="F28" s="46" t="s">
        <v>10</v>
      </c>
      <c r="G28" s="46" t="s">
        <v>17</v>
      </c>
      <c r="H28" s="47" t="s">
        <v>83</v>
      </c>
      <c r="I28" s="47" t="s">
        <v>84</v>
      </c>
      <c r="J28" s="47" t="s">
        <v>85</v>
      </c>
      <c r="K28" s="47" t="s">
        <v>186</v>
      </c>
      <c r="M28" s="71"/>
      <c r="N28" s="63"/>
    </row>
    <row r="29" spans="1:27" x14ac:dyDescent="0.25">
      <c r="A29" s="48" t="s">
        <v>2</v>
      </c>
      <c r="B29" s="49">
        <f>+B7-B18</f>
        <v>0</v>
      </c>
      <c r="C29" s="50">
        <f t="shared" ref="C29:D29" si="14">+C7-C18</f>
        <v>-1.0066593757862563E-4</v>
      </c>
      <c r="D29" s="50">
        <f t="shared" si="14"/>
        <v>0</v>
      </c>
      <c r="E29" s="50">
        <f t="shared" ref="E29:G33" si="15">+E7-E18</f>
        <v>-1.0066593757862563E-4</v>
      </c>
      <c r="F29" s="51">
        <f t="shared" si="15"/>
        <v>1.0066593757862563E-4</v>
      </c>
      <c r="G29" s="20">
        <f t="shared" si="15"/>
        <v>571151.57480314933</v>
      </c>
      <c r="H29" s="4">
        <f>+H18-H7</f>
        <v>-43978.671259842522</v>
      </c>
      <c r="I29" s="4">
        <f t="shared" ref="I29:J29" si="16">+I18-I7</f>
        <v>-17744.410627525504</v>
      </c>
      <c r="J29" s="4">
        <f t="shared" si="16"/>
        <v>-50466.593503937009</v>
      </c>
      <c r="K29" s="4">
        <f>+H29-I29-J29</f>
        <v>24232.33287161999</v>
      </c>
      <c r="M29" s="5"/>
      <c r="N29" s="39"/>
    </row>
    <row r="30" spans="1:27" x14ac:dyDescent="0.25">
      <c r="A30" s="52" t="s">
        <v>3</v>
      </c>
      <c r="B30" s="37">
        <f>+B8-B19</f>
        <v>0</v>
      </c>
      <c r="C30" s="42">
        <f t="shared" ref="C30:D33" si="17">+C8-C19</f>
        <v>-1.0066593757862563E-4</v>
      </c>
      <c r="D30" s="42">
        <f t="shared" si="17"/>
        <v>0</v>
      </c>
      <c r="E30" s="42">
        <f t="shared" si="15"/>
        <v>-1.0066593757862563E-4</v>
      </c>
      <c r="F30" s="43">
        <f t="shared" si="15"/>
        <v>1.0066593757862563E-4</v>
      </c>
      <c r="G30" s="20">
        <f t="shared" si="15"/>
        <v>-1169875.9842519695</v>
      </c>
      <c r="H30" s="4">
        <f>+H19-H8</f>
        <v>104118.96259842522</v>
      </c>
      <c r="I30" s="4">
        <f t="shared" ref="I30:J33" si="18">+I19-I8</f>
        <v>38081.935398231843</v>
      </c>
      <c r="J30" s="4">
        <f t="shared" si="18"/>
        <v>103369.50531496073</v>
      </c>
      <c r="K30" s="4">
        <f t="shared" ref="K30:K33" si="19">+H30-I30-J30</f>
        <v>-37332.478114767349</v>
      </c>
      <c r="M30" s="5"/>
      <c r="N30" s="39"/>
    </row>
    <row r="31" spans="1:27" x14ac:dyDescent="0.25">
      <c r="A31" s="52" t="s">
        <v>4</v>
      </c>
      <c r="B31" s="37">
        <f>+B9-B20</f>
        <v>0</v>
      </c>
      <c r="C31" s="42">
        <f t="shared" si="17"/>
        <v>-1.0066593757862563E-4</v>
      </c>
      <c r="D31" s="42">
        <f t="shared" si="17"/>
        <v>0</v>
      </c>
      <c r="E31" s="42">
        <f t="shared" si="15"/>
        <v>-1.0066593757862563E-4</v>
      </c>
      <c r="F31" s="43">
        <f t="shared" si="15"/>
        <v>1.0066593757862563E-4</v>
      </c>
      <c r="G31" s="20">
        <f t="shared" si="15"/>
        <v>12424376.264064252</v>
      </c>
      <c r="H31" s="4">
        <f>+H20-H9</f>
        <v>-807584.45716417581</v>
      </c>
      <c r="I31" s="4">
        <f t="shared" si="18"/>
        <v>-386880.65046379576</v>
      </c>
      <c r="J31" s="4">
        <f t="shared" si="18"/>
        <v>-1097810.0632473938</v>
      </c>
      <c r="K31" s="4">
        <f t="shared" si="19"/>
        <v>677106.25654701376</v>
      </c>
      <c r="M31" s="5"/>
      <c r="N31" s="39"/>
    </row>
    <row r="32" spans="1:27" x14ac:dyDescent="0.25">
      <c r="A32" s="52" t="s">
        <v>6</v>
      </c>
      <c r="B32" s="37">
        <f>+B10-B21</f>
        <v>0</v>
      </c>
      <c r="C32" s="42">
        <f t="shared" si="17"/>
        <v>-1.0066593757862563E-4</v>
      </c>
      <c r="D32" s="42">
        <f t="shared" si="17"/>
        <v>0</v>
      </c>
      <c r="E32" s="42">
        <f t="shared" si="15"/>
        <v>-1.0066593757862563E-4</v>
      </c>
      <c r="F32" s="43">
        <f t="shared" si="15"/>
        <v>1.0066593757862563E-4</v>
      </c>
      <c r="G32" s="20">
        <f t="shared" si="15"/>
        <v>-3151181.1023622155</v>
      </c>
      <c r="H32" s="4">
        <f>+H21-H10</f>
        <v>296211.02362204809</v>
      </c>
      <c r="I32" s="4">
        <f t="shared" si="18"/>
        <v>105714.38997019897</v>
      </c>
      <c r="J32" s="4">
        <f t="shared" si="18"/>
        <v>278436.37795275636</v>
      </c>
      <c r="K32" s="4">
        <f t="shared" si="19"/>
        <v>-87939.744300907245</v>
      </c>
      <c r="M32" s="5"/>
      <c r="N32" s="39"/>
    </row>
    <row r="33" spans="1:14" x14ac:dyDescent="0.25">
      <c r="A33" s="53" t="s">
        <v>5</v>
      </c>
      <c r="B33" s="54">
        <f>+B11-B22</f>
        <v>0</v>
      </c>
      <c r="C33" s="55">
        <f t="shared" si="17"/>
        <v>-1.0066593757862563E-4</v>
      </c>
      <c r="D33" s="55">
        <f t="shared" si="17"/>
        <v>0</v>
      </c>
      <c r="E33" s="55">
        <f t="shared" si="15"/>
        <v>-1.0066593757862563E-4</v>
      </c>
      <c r="F33" s="56">
        <f t="shared" si="15"/>
        <v>1.0066593757862563E-4</v>
      </c>
      <c r="G33" s="20">
        <f t="shared" si="15"/>
        <v>2765161.4173228368</v>
      </c>
      <c r="H33" s="4">
        <f>+H22-H11</f>
        <v>-365001.30708661396</v>
      </c>
      <c r="I33" s="4">
        <f t="shared" si="18"/>
        <v>-82000.325784094399</v>
      </c>
      <c r="J33" s="4">
        <f t="shared" si="18"/>
        <v>-244327.9216535436</v>
      </c>
      <c r="K33" s="4">
        <f t="shared" si="19"/>
        <v>-38673.059648975963</v>
      </c>
      <c r="M33" s="5"/>
      <c r="N33" s="39"/>
    </row>
    <row r="34" spans="1:14" ht="15.75" thickBot="1" x14ac:dyDescent="0.3">
      <c r="G34" s="18">
        <f>SUM(G29:G33)</f>
        <v>11439632.169576053</v>
      </c>
      <c r="H34" s="24">
        <f t="shared" ref="H34:J34" si="20">SUM(H29:H33)</f>
        <v>-816234.44929015893</v>
      </c>
      <c r="I34" s="24">
        <f t="shared" si="20"/>
        <v>-342829.06150698487</v>
      </c>
      <c r="J34" s="24">
        <f t="shared" si="20"/>
        <v>-1010798.6951371573</v>
      </c>
      <c r="K34" s="24">
        <f>SUM(K29:K33)</f>
        <v>537393.30735398317</v>
      </c>
    </row>
    <row r="35" spans="1:14" ht="15.75" thickTop="1" x14ac:dyDescent="0.25">
      <c r="K35" s="5"/>
    </row>
    <row r="36" spans="1:14" x14ac:dyDescent="0.25">
      <c r="J36" s="1"/>
      <c r="K36" s="5"/>
    </row>
    <row r="37" spans="1:14" x14ac:dyDescent="0.25">
      <c r="J37" s="83"/>
      <c r="K37" s="5"/>
    </row>
    <row r="38" spans="1:14" x14ac:dyDescent="0.25">
      <c r="J38" s="2"/>
    </row>
  </sheetData>
  <pageMargins left="0.7" right="0.7" top="0.75" bottom="0.75" header="0.3" footer="0.3"/>
  <pageSetup paperSize="5"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zoomScaleNormal="100" workbookViewId="0">
      <selection activeCell="F19" sqref="F19"/>
    </sheetView>
  </sheetViews>
  <sheetFormatPr defaultRowHeight="15" x14ac:dyDescent="0.25"/>
  <cols>
    <col min="1" max="1" width="23.28515625" customWidth="1"/>
    <col min="2" max="2" width="9.28515625" customWidth="1"/>
    <col min="3" max="4" width="14.85546875" customWidth="1"/>
    <col min="5" max="5" width="13.28515625" bestFit="1" customWidth="1"/>
    <col min="6" max="6" width="15" bestFit="1" customWidth="1"/>
    <col min="7" max="7" width="13" customWidth="1"/>
    <col min="8" max="11" width="14.85546875" customWidth="1"/>
    <col min="12" max="12" width="13.140625" customWidth="1"/>
    <col min="13" max="13" width="13.42578125" customWidth="1"/>
    <col min="14" max="14" width="12.42578125" customWidth="1"/>
    <col min="15" max="15" width="13.28515625" customWidth="1"/>
    <col min="16" max="16" width="12.7109375" customWidth="1"/>
    <col min="17" max="17" width="9.140625" customWidth="1"/>
  </cols>
  <sheetData>
    <row r="1" spans="1:9" ht="18.75" x14ac:dyDescent="0.3">
      <c r="A1" s="25" t="s">
        <v>129</v>
      </c>
    </row>
    <row r="2" spans="1:9" ht="18.75" x14ac:dyDescent="0.3">
      <c r="A2" s="25"/>
    </row>
    <row r="3" spans="1:9" x14ac:dyDescent="0.25">
      <c r="A3" s="26" t="s">
        <v>275</v>
      </c>
    </row>
    <row r="4" spans="1:9" ht="17.25" x14ac:dyDescent="0.25">
      <c r="C4" s="442" t="s">
        <v>184</v>
      </c>
      <c r="D4" s="442"/>
      <c r="E4" s="442"/>
      <c r="F4" s="442" t="s">
        <v>345</v>
      </c>
      <c r="G4" s="443"/>
      <c r="H4" s="443"/>
    </row>
    <row r="5" spans="1:9" ht="30" x14ac:dyDescent="0.25">
      <c r="B5" s="115" t="s">
        <v>39</v>
      </c>
      <c r="C5" s="57" t="s">
        <v>17</v>
      </c>
      <c r="D5" s="59" t="s">
        <v>52</v>
      </c>
      <c r="E5" s="115" t="s">
        <v>51</v>
      </c>
      <c r="F5" s="57" t="s">
        <v>17</v>
      </c>
      <c r="G5" s="59" t="s">
        <v>52</v>
      </c>
      <c r="H5" s="141" t="s">
        <v>51</v>
      </c>
      <c r="I5" s="59" t="s">
        <v>55</v>
      </c>
    </row>
    <row r="6" spans="1:9" x14ac:dyDescent="0.25">
      <c r="A6" t="s">
        <v>53</v>
      </c>
      <c r="B6" s="10">
        <f>+'Data for 2nd TU'!G48</f>
        <v>8.8359370314842575E-2</v>
      </c>
      <c r="C6" s="6">
        <f>+'Data for 2nd TU'!C10</f>
        <v>225112500</v>
      </c>
      <c r="D6" s="2">
        <f>E6/E8</f>
        <v>0.45</v>
      </c>
      <c r="E6" s="4">
        <f>B6*C6</f>
        <v>19890798.75</v>
      </c>
      <c r="F6" s="6">
        <f>+'Data for 2nd TU'!H10</f>
        <v>213672867.83042395</v>
      </c>
      <c r="G6" s="2">
        <f>F6/F8</f>
        <v>0.42713216957605987</v>
      </c>
      <c r="H6" s="4">
        <f>G6*H8</f>
        <v>18880000.054862846</v>
      </c>
      <c r="I6" s="4">
        <f>H6-E6</f>
        <v>-1010798.6951371543</v>
      </c>
    </row>
    <row r="7" spans="1:9" x14ac:dyDescent="0.25">
      <c r="A7" t="s">
        <v>54</v>
      </c>
      <c r="B7" s="10">
        <f>+'Data for 2nd TU'!G48</f>
        <v>8.8359370314842575E-2</v>
      </c>
      <c r="C7" s="6">
        <f>+'Data for 2nd TU'!C11</f>
        <v>275137500</v>
      </c>
      <c r="D7" s="2">
        <f>E7/E8</f>
        <v>0.55000000000000004</v>
      </c>
      <c r="E7" s="4">
        <f>C7*B7</f>
        <v>24310976.25</v>
      </c>
      <c r="F7" s="6">
        <f>+'Data for 2nd TU'!H11</f>
        <v>286577132.16957605</v>
      </c>
      <c r="G7" s="2">
        <f>F7/F8</f>
        <v>0.57286783042394018</v>
      </c>
      <c r="H7" s="4">
        <f>G7*H8</f>
        <v>25321774.945137158</v>
      </c>
      <c r="I7" s="4">
        <f>H7-E7</f>
        <v>1010798.695137158</v>
      </c>
    </row>
    <row r="8" spans="1:9" ht="15.75" thickBot="1" x14ac:dyDescent="0.3">
      <c r="B8" s="115"/>
      <c r="C8" s="18">
        <f t="shared" ref="C8:I8" si="0">SUM(C6:C7)</f>
        <v>500250000</v>
      </c>
      <c r="D8" s="76">
        <f>SUM(D6:D7)</f>
        <v>1</v>
      </c>
      <c r="E8" s="24">
        <f t="shared" si="0"/>
        <v>44201775</v>
      </c>
      <c r="F8" s="18">
        <f t="shared" si="0"/>
        <v>500250000</v>
      </c>
      <c r="G8" s="76">
        <f t="shared" si="0"/>
        <v>1</v>
      </c>
      <c r="H8" s="24">
        <f>+E8</f>
        <v>44201775</v>
      </c>
      <c r="I8" s="24">
        <f t="shared" si="0"/>
        <v>3.7252902984619141E-9</v>
      </c>
    </row>
    <row r="9" spans="1:9" ht="15.75" thickTop="1" x14ac:dyDescent="0.25"/>
    <row r="10" spans="1:9" ht="17.25" x14ac:dyDescent="0.25">
      <c r="A10" t="s">
        <v>344</v>
      </c>
      <c r="B10" s="10"/>
      <c r="C10" s="6"/>
      <c r="D10" s="6"/>
      <c r="E10" s="4"/>
      <c r="F10" s="6"/>
      <c r="G10" s="2"/>
      <c r="H10" s="4"/>
      <c r="I10" s="4"/>
    </row>
    <row r="11" spans="1:9" x14ac:dyDescent="0.25">
      <c r="B11" s="10"/>
      <c r="C11" s="6"/>
      <c r="D11" s="6"/>
      <c r="E11" s="4"/>
      <c r="F11" s="6"/>
      <c r="G11" s="2"/>
      <c r="H11" s="4"/>
      <c r="I11" s="4"/>
    </row>
    <row r="12" spans="1:9" x14ac:dyDescent="0.25">
      <c r="B12" s="10"/>
      <c r="C12" s="6"/>
      <c r="D12" s="6"/>
      <c r="E12" s="4"/>
      <c r="F12" s="6"/>
      <c r="G12" s="2"/>
      <c r="H12" s="4"/>
      <c r="I12" s="4"/>
    </row>
    <row r="13" spans="1:9" x14ac:dyDescent="0.25">
      <c r="B13" s="10"/>
      <c r="C13" s="6"/>
      <c r="D13" s="6"/>
      <c r="E13" s="4"/>
      <c r="F13" s="6"/>
      <c r="G13" s="2"/>
      <c r="H13" s="4"/>
      <c r="I13" s="4"/>
    </row>
    <row r="14" spans="1:9" x14ac:dyDescent="0.25">
      <c r="B14" s="10"/>
      <c r="C14" s="6"/>
      <c r="D14" s="6"/>
      <c r="E14" s="4"/>
      <c r="F14" s="6"/>
      <c r="G14" s="2"/>
      <c r="H14" s="4"/>
      <c r="I14" s="4"/>
    </row>
    <row r="15" spans="1:9" x14ac:dyDescent="0.25">
      <c r="B15" s="10"/>
      <c r="C15" s="6"/>
      <c r="D15" s="6"/>
      <c r="E15" s="4"/>
      <c r="F15" s="6"/>
      <c r="G15" s="2"/>
      <c r="H15" s="4"/>
      <c r="I15" s="4"/>
    </row>
    <row r="16" spans="1:9" x14ac:dyDescent="0.25">
      <c r="B16" s="10"/>
      <c r="C16" s="6"/>
      <c r="D16" s="6"/>
      <c r="E16" s="4"/>
      <c r="F16" s="6"/>
      <c r="G16" s="2"/>
      <c r="H16" s="4"/>
      <c r="I16" s="4"/>
    </row>
    <row r="17" spans="1:9" x14ac:dyDescent="0.25">
      <c r="B17" s="10"/>
      <c r="C17" s="6"/>
      <c r="D17" s="6"/>
      <c r="E17" s="4"/>
      <c r="F17" s="6"/>
      <c r="G17" s="2"/>
      <c r="H17" s="4"/>
      <c r="I17" s="4"/>
    </row>
    <row r="18" spans="1:9" x14ac:dyDescent="0.25">
      <c r="B18" s="10"/>
      <c r="C18" s="6"/>
      <c r="D18" s="6"/>
      <c r="E18" s="4"/>
      <c r="F18" s="6"/>
      <c r="G18" s="2"/>
      <c r="H18" s="4"/>
      <c r="I18" s="4"/>
    </row>
    <row r="23" spans="1:9" x14ac:dyDescent="0.25">
      <c r="A23" s="74"/>
    </row>
    <row r="24" spans="1:9" x14ac:dyDescent="0.25">
      <c r="A24" s="6"/>
      <c r="B24" s="6"/>
      <c r="C24" s="6"/>
      <c r="D24" s="6"/>
    </row>
    <row r="25" spans="1:9" x14ac:dyDescent="0.25">
      <c r="A25" s="20"/>
    </row>
    <row r="26" spans="1:9" x14ac:dyDescent="0.25">
      <c r="A26" s="2"/>
    </row>
    <row r="28" spans="1:9" ht="31.15" customHeight="1" x14ac:dyDescent="0.25">
      <c r="A28" s="116"/>
      <c r="B28" s="116"/>
      <c r="C28" s="116"/>
      <c r="D28" s="142"/>
    </row>
    <row r="29" spans="1:9" x14ac:dyDescent="0.25">
      <c r="A29" s="22"/>
      <c r="B29" s="22"/>
      <c r="C29" s="22"/>
      <c r="D29" s="22"/>
    </row>
    <row r="30" spans="1:9" x14ac:dyDescent="0.25">
      <c r="A30" s="22"/>
      <c r="B30" s="22"/>
      <c r="C30" s="22"/>
      <c r="D30" s="22"/>
    </row>
    <row r="31" spans="1:9" x14ac:dyDescent="0.25">
      <c r="A31" s="22"/>
      <c r="B31" s="22"/>
      <c r="C31" s="22"/>
      <c r="D31" s="22"/>
    </row>
    <row r="32" spans="1:9" x14ac:dyDescent="0.25">
      <c r="A32" s="22"/>
      <c r="B32" s="22"/>
      <c r="C32" s="22"/>
      <c r="D32" s="22"/>
    </row>
    <row r="33" spans="1:4" x14ac:dyDescent="0.25">
      <c r="A33" s="22"/>
      <c r="B33" s="22"/>
      <c r="C33" s="22"/>
      <c r="D33" s="22"/>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showGridLines="0" zoomScaleNormal="100" workbookViewId="0">
      <selection activeCell="F6" sqref="F6"/>
    </sheetView>
  </sheetViews>
  <sheetFormatPr defaultRowHeight="15" x14ac:dyDescent="0.25"/>
  <cols>
    <col min="2" max="2" width="20" bestFit="1" customWidth="1"/>
    <col min="3" max="3" width="19.85546875" customWidth="1"/>
    <col min="4" max="7" width="18.42578125" customWidth="1"/>
    <col min="8" max="8" width="15.85546875" bestFit="1" customWidth="1"/>
  </cols>
  <sheetData>
    <row r="1" spans="1:8" x14ac:dyDescent="0.25">
      <c r="A1" s="442" t="s">
        <v>287</v>
      </c>
      <c r="B1" s="442"/>
      <c r="C1" s="442"/>
      <c r="D1" s="442"/>
      <c r="E1" s="442"/>
      <c r="F1" s="442"/>
      <c r="G1" s="442"/>
      <c r="H1" s="442"/>
    </row>
    <row r="3" spans="1:8" ht="75" x14ac:dyDescent="0.25">
      <c r="B3" s="129" t="s">
        <v>145</v>
      </c>
      <c r="C3" s="129" t="s">
        <v>307</v>
      </c>
      <c r="D3" s="129" t="s">
        <v>146</v>
      </c>
      <c r="E3" s="129" t="s">
        <v>146</v>
      </c>
      <c r="F3" s="129" t="s">
        <v>146</v>
      </c>
      <c r="G3" s="129" t="s">
        <v>146</v>
      </c>
      <c r="H3" s="129" t="s">
        <v>91</v>
      </c>
    </row>
    <row r="4" spans="1:8" ht="45" x14ac:dyDescent="0.25">
      <c r="A4" s="125" t="s">
        <v>150</v>
      </c>
      <c r="B4" s="218" t="s">
        <v>308</v>
      </c>
      <c r="C4" s="218" t="s">
        <v>92</v>
      </c>
      <c r="D4" s="218" t="s">
        <v>147</v>
      </c>
      <c r="E4" s="218" t="s">
        <v>148</v>
      </c>
      <c r="F4" s="218" t="s">
        <v>93</v>
      </c>
      <c r="G4" s="218" t="s">
        <v>90</v>
      </c>
      <c r="H4" s="219" t="s">
        <v>149</v>
      </c>
    </row>
    <row r="5" spans="1:8" x14ac:dyDescent="0.25">
      <c r="A5" s="221">
        <v>1588</v>
      </c>
      <c r="B5" s="152">
        <f>(-'Data for Settlement &amp; 1st TU'!D72-'Data for Settlement &amp; 1st TU'!D76)+('Data for Settlement &amp; 1st TU'!D61-'Data for Settlement &amp; 1st TU'!D58-'Data for Settlement &amp; 1st TU'!D56)</f>
        <v>-3.3527612686157227E-8</v>
      </c>
      <c r="C5" s="152">
        <f>+'Data for Settlement &amp; 1st TU'!I55-'Data for Settlement &amp; 1st TU'!D55+'Data for Settlement &amp; 1st TU'!I57-'Data for Settlement &amp; 1st TU'!D57</f>
        <v>2269169.6437613964</v>
      </c>
      <c r="D5" s="152">
        <f>+'RPP Settlement &amp; 1st TU'!K34</f>
        <v>-2255101.3937613568</v>
      </c>
      <c r="E5" s="152">
        <f>+'RPP 2nd TU'!K34</f>
        <v>537393.30735398317</v>
      </c>
      <c r="F5" s="152">
        <f>+'Data for 2nd TU'!D72-'Data for 2nd TU'!I72+'Data for 2nd TU'!D76-'Data for 2nd TU'!I76</f>
        <v>404016.16681436263</v>
      </c>
      <c r="G5" s="152">
        <f>+'Data for 2nd TU'!I57-'Data for 2nd TU'!D57</f>
        <v>-1010798.695137158</v>
      </c>
      <c r="H5" s="127">
        <f>SUM(B5:G5)</f>
        <v>-55320.970968806185</v>
      </c>
    </row>
    <row r="6" spans="1:8" x14ac:dyDescent="0.25">
      <c r="A6" s="222">
        <v>1589</v>
      </c>
      <c r="B6" s="130">
        <f>+'Data for Settlement &amp; 1st TU'!D58-'Data for Settlement &amp; 1st TU'!D78</f>
        <v>-7480000</v>
      </c>
      <c r="C6" s="130">
        <f>(+'Data for Settlement &amp; 1st TU'!I56+'Data for Settlement &amp; 1st TU'!I58-'Data for Settlement &amp; 1st TU'!I77-'Data for Settlement &amp; 1st TU'!I78)-('Data for Settlement &amp; 1st TU'!D56+'Data for Settlement &amp; 1st TU'!D58-'Data for Settlement &amp; 1st TU'!D77-'Data for Settlement &amp; 1st TU'!D78)</f>
        <v>2668476.25</v>
      </c>
      <c r="D6" s="130">
        <v>0</v>
      </c>
      <c r="E6" s="130">
        <v>0</v>
      </c>
      <c r="F6" s="130">
        <f>+'Data for 2nd TU'!D78-'Data for 2nd TU'!I78</f>
        <v>-1286685</v>
      </c>
      <c r="G6" s="130">
        <f>+'Data for 2nd TU'!I58-'Data for 2nd TU'!D58</f>
        <v>1010798.6951371543</v>
      </c>
      <c r="H6" s="128">
        <f>SUM(B6:G6)</f>
        <v>-5087410.0548628457</v>
      </c>
    </row>
    <row r="8" spans="1:8" x14ac:dyDescent="0.25">
      <c r="A8" s="442" t="s">
        <v>276</v>
      </c>
      <c r="B8" s="442"/>
      <c r="C8" s="442"/>
      <c r="D8" s="442"/>
      <c r="E8" s="442"/>
      <c r="F8" s="442"/>
      <c r="G8" s="442"/>
      <c r="H8" s="442"/>
    </row>
    <row r="10" spans="1:8" ht="60" x14ac:dyDescent="0.25">
      <c r="B10" s="129" t="s">
        <v>145</v>
      </c>
      <c r="C10" s="129" t="s">
        <v>306</v>
      </c>
      <c r="D10" s="129" t="s">
        <v>172</v>
      </c>
      <c r="E10" s="129" t="s">
        <v>172</v>
      </c>
      <c r="F10" s="129" t="s">
        <v>171</v>
      </c>
      <c r="G10" s="129" t="s">
        <v>171</v>
      </c>
      <c r="H10" s="129" t="s">
        <v>91</v>
      </c>
    </row>
    <row r="11" spans="1:8" ht="45" x14ac:dyDescent="0.25">
      <c r="A11" s="125" t="s">
        <v>150</v>
      </c>
      <c r="B11" s="218" t="s">
        <v>308</v>
      </c>
      <c r="C11" s="218" t="s">
        <v>92</v>
      </c>
      <c r="D11" s="218" t="s">
        <v>147</v>
      </c>
      <c r="E11" s="218" t="s">
        <v>148</v>
      </c>
      <c r="F11" s="220" t="s">
        <v>93</v>
      </c>
      <c r="G11" s="220" t="s">
        <v>90</v>
      </c>
      <c r="H11" s="219" t="s">
        <v>149</v>
      </c>
    </row>
    <row r="12" spans="1:8" x14ac:dyDescent="0.25">
      <c r="A12" s="222">
        <v>1589</v>
      </c>
      <c r="B12" s="130">
        <f>+B6</f>
        <v>-7480000</v>
      </c>
      <c r="C12" s="130">
        <f>+C6</f>
        <v>2668476.25</v>
      </c>
      <c r="D12" s="130">
        <f t="shared" ref="D12:G12" si="0">+D6</f>
        <v>0</v>
      </c>
      <c r="E12" s="130">
        <f t="shared" si="0"/>
        <v>0</v>
      </c>
      <c r="F12" s="130">
        <f t="shared" si="0"/>
        <v>-1286685</v>
      </c>
      <c r="G12" s="130">
        <f t="shared" si="0"/>
        <v>1010798.6951371543</v>
      </c>
      <c r="H12" s="128">
        <f>SUM(B12:G12)</f>
        <v>-5087410.0548628457</v>
      </c>
    </row>
  </sheetData>
  <mergeCells count="2">
    <mergeCell ref="A1:H1"/>
    <mergeCell ref="A8:H8"/>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zoomScaleNormal="100" workbookViewId="0">
      <selection activeCell="N60" sqref="N60"/>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92" customWidth="1"/>
    <col min="12" max="12" width="18" style="92" bestFit="1" customWidth="1"/>
    <col min="13" max="14" width="12.7109375" style="92" customWidth="1"/>
  </cols>
  <sheetData>
    <row r="1" spans="1:14" ht="28.5" x14ac:dyDescent="0.45">
      <c r="A1" s="444" t="s">
        <v>335</v>
      </c>
      <c r="B1" s="444"/>
      <c r="C1" s="444"/>
      <c r="D1" s="444"/>
      <c r="E1" s="444"/>
      <c r="F1" s="444"/>
      <c r="G1" s="444"/>
      <c r="H1" s="444"/>
      <c r="I1" s="444"/>
      <c r="J1" s="150"/>
    </row>
    <row r="2" spans="1:14" ht="26.25" x14ac:dyDescent="0.4">
      <c r="A2" s="209"/>
      <c r="B2" s="209"/>
      <c r="C2" s="209"/>
      <c r="D2" s="209"/>
      <c r="E2" s="209"/>
      <c r="F2" s="209"/>
      <c r="G2" s="209"/>
      <c r="H2" s="209"/>
      <c r="I2" s="209"/>
      <c r="J2" s="150"/>
    </row>
    <row r="3" spans="1:14" x14ac:dyDescent="0.25">
      <c r="A3" s="11" t="s">
        <v>330</v>
      </c>
      <c r="I3" s="8"/>
    </row>
    <row r="4" spans="1:14" ht="29.45" customHeight="1" thickBot="1" x14ac:dyDescent="0.3">
      <c r="A4" s="457" t="s">
        <v>336</v>
      </c>
      <c r="B4" s="458"/>
      <c r="C4" s="459"/>
      <c r="D4" s="455" t="s">
        <v>309</v>
      </c>
      <c r="E4" s="456"/>
      <c r="F4" s="453" t="s">
        <v>310</v>
      </c>
      <c r="G4" s="454"/>
      <c r="I4" s="36"/>
    </row>
    <row r="5" spans="1:14" ht="30.75" thickBot="1" x14ac:dyDescent="0.3">
      <c r="A5" s="225" t="s">
        <v>313</v>
      </c>
      <c r="B5" s="249" t="s">
        <v>329</v>
      </c>
      <c r="C5" s="249" t="s">
        <v>328</v>
      </c>
      <c r="D5" s="241" t="s">
        <v>95</v>
      </c>
      <c r="E5" s="243" t="s">
        <v>40</v>
      </c>
      <c r="F5" s="285" t="s">
        <v>178</v>
      </c>
      <c r="G5" s="243" t="s">
        <v>40</v>
      </c>
      <c r="I5" s="36"/>
      <c r="K5" s="98"/>
      <c r="L5" s="96"/>
      <c r="M5" s="140"/>
    </row>
    <row r="6" spans="1:14" x14ac:dyDescent="0.25">
      <c r="A6" s="239" t="s">
        <v>316</v>
      </c>
      <c r="B6" s="250">
        <f>+'Data for 2nd TU'!H27</f>
        <v>214100000</v>
      </c>
      <c r="C6" s="250">
        <f>+'Data for 2nd TU'!I27</f>
        <v>214100000</v>
      </c>
      <c r="D6" s="251">
        <f>+'RPP 2nd TU'!B23</f>
        <v>9.2281382053422692E-2</v>
      </c>
      <c r="E6" s="250">
        <f>C6*D6</f>
        <v>19757443.897637799</v>
      </c>
      <c r="F6" s="252"/>
      <c r="G6" s="252"/>
      <c r="I6" s="8"/>
      <c r="K6" s="98"/>
      <c r="L6" s="96"/>
      <c r="M6" s="140"/>
    </row>
    <row r="7" spans="1:14" s="92" customFormat="1" x14ac:dyDescent="0.25">
      <c r="A7" s="239" t="s">
        <v>173</v>
      </c>
      <c r="B7" s="223">
        <v>0</v>
      </c>
      <c r="C7" s="223">
        <f>-'Data for 2nd TU'!H7</f>
        <v>35000000</v>
      </c>
      <c r="D7" s="253">
        <f>+'Data for 2nd TU'!G85</f>
        <v>2.7763164898064498E-2</v>
      </c>
      <c r="E7" s="223">
        <f>+C7*D7</f>
        <v>971710.77143225737</v>
      </c>
      <c r="F7" s="125"/>
      <c r="G7" s="223">
        <f>+'Data for 2nd TU'!I77</f>
        <v>1980000</v>
      </c>
      <c r="I7"/>
      <c r="J7"/>
      <c r="K7" s="98"/>
      <c r="L7" s="98"/>
      <c r="N7" s="98"/>
    </row>
    <row r="8" spans="1:14" s="92" customFormat="1" ht="15.75" thickBot="1" x14ac:dyDescent="0.3">
      <c r="A8" s="239" t="s">
        <v>174</v>
      </c>
      <c r="B8" s="224">
        <f>+'Data for 2nd TU'!H28</f>
        <v>287150000</v>
      </c>
      <c r="C8" s="224">
        <f>+'Data for 2nd TU'!H28</f>
        <v>287150000</v>
      </c>
      <c r="D8" s="265">
        <f>+'Data for 2nd TU'!G85</f>
        <v>2.7763164898064498E-2</v>
      </c>
      <c r="E8" s="224">
        <f>+D8*C8</f>
        <v>7972192.8004792202</v>
      </c>
      <c r="F8" s="265">
        <f>+'Data for 2nd TU'!G45</f>
        <v>0.10589999999999999</v>
      </c>
      <c r="G8" s="224">
        <f>B8*F8</f>
        <v>30409185</v>
      </c>
      <c r="I8"/>
      <c r="J8"/>
      <c r="N8" s="93"/>
    </row>
    <row r="9" spans="1:14" s="92" customFormat="1" ht="15.75" thickBot="1" x14ac:dyDescent="0.3">
      <c r="A9" s="125"/>
      <c r="B9" s="266">
        <f>SUM(B6:B8)</f>
        <v>501250000</v>
      </c>
      <c r="C9" s="266">
        <f>SUM(C6:C8)</f>
        <v>536250000</v>
      </c>
      <c r="D9" s="146"/>
      <c r="E9" s="267">
        <f>SUM(E6:E8)</f>
        <v>28701347.469549276</v>
      </c>
      <c r="F9" s="146"/>
      <c r="G9" s="267">
        <f>SUM(G6:G8)</f>
        <v>32389185</v>
      </c>
      <c r="I9"/>
      <c r="J9"/>
      <c r="K9" s="98"/>
      <c r="L9" s="132"/>
      <c r="M9" s="139"/>
    </row>
    <row r="10" spans="1:14" s="92" customFormat="1" ht="15.75" thickTop="1" x14ac:dyDescent="0.25">
      <c r="A10" s="8"/>
      <c r="B10" s="33"/>
      <c r="C10" s="33"/>
      <c r="D10" s="8"/>
      <c r="E10" s="103"/>
      <c r="F10" s="102"/>
      <c r="G10" s="103"/>
      <c r="I10"/>
      <c r="J10"/>
      <c r="K10" s="98"/>
      <c r="L10" s="132"/>
      <c r="M10" s="139"/>
    </row>
    <row r="11" spans="1:14" ht="15.75" thickBot="1" x14ac:dyDescent="0.3">
      <c r="A11" s="11" t="s">
        <v>331</v>
      </c>
      <c r="K11" s="98"/>
      <c r="L11" s="96"/>
      <c r="M11" s="139"/>
    </row>
    <row r="12" spans="1:14" s="92" customFormat="1" ht="16.5" thickBot="1" x14ac:dyDescent="0.3">
      <c r="A12" s="287"/>
      <c r="B12" s="288"/>
      <c r="C12" s="290"/>
      <c r="D12" s="445" t="s">
        <v>311</v>
      </c>
      <c r="E12" s="446"/>
      <c r="F12" s="446"/>
      <c r="G12" s="446"/>
      <c r="H12" s="446"/>
      <c r="I12" s="447"/>
      <c r="N12" s="93"/>
    </row>
    <row r="13" spans="1:14" s="92" customFormat="1" ht="29.45" customHeight="1" thickBot="1" x14ac:dyDescent="0.3">
      <c r="A13" s="460" t="s">
        <v>336</v>
      </c>
      <c r="B13" s="461"/>
      <c r="C13" s="462"/>
      <c r="D13" s="450" t="s">
        <v>176</v>
      </c>
      <c r="E13" s="452"/>
      <c r="F13" s="450" t="s">
        <v>177</v>
      </c>
      <c r="G13" s="451"/>
      <c r="H13" s="244" t="s">
        <v>348</v>
      </c>
      <c r="I13" s="289" t="s">
        <v>181</v>
      </c>
    </row>
    <row r="14" spans="1:14" s="92" customFormat="1" ht="48" customHeight="1" thickBot="1" x14ac:dyDescent="0.3">
      <c r="A14" s="225" t="s">
        <v>313</v>
      </c>
      <c r="B14" s="249" t="s">
        <v>326</v>
      </c>
      <c r="C14" s="249" t="s">
        <v>327</v>
      </c>
      <c r="D14" s="285" t="s">
        <v>346</v>
      </c>
      <c r="E14" s="243" t="s">
        <v>40</v>
      </c>
      <c r="F14" s="285" t="s">
        <v>347</v>
      </c>
      <c r="G14" s="243" t="s">
        <v>40</v>
      </c>
      <c r="H14" s="244" t="s">
        <v>40</v>
      </c>
      <c r="I14" s="245" t="s">
        <v>40</v>
      </c>
    </row>
    <row r="15" spans="1:14" s="92" customFormat="1" x14ac:dyDescent="0.25">
      <c r="A15" s="240" t="s">
        <v>317</v>
      </c>
      <c r="B15" s="254">
        <f>+'Data for 2nd TU'!H10</f>
        <v>213672867.83042395</v>
      </c>
      <c r="C15" s="255">
        <f>+'Data for 2nd TU'!I10</f>
        <v>213672867.83042395</v>
      </c>
      <c r="D15" s="256">
        <f>+'Data for 2nd TU'!G43</f>
        <v>3.194947328395592E-2</v>
      </c>
      <c r="E15" s="255">
        <f>C15*D15</f>
        <v>6826735.5822543744</v>
      </c>
      <c r="F15" s="256">
        <f>+'Data for 2nd TU'!G48</f>
        <v>8.8359370314842575E-2</v>
      </c>
      <c r="G15" s="255">
        <f>B15*F15</f>
        <v>18880000.054862842</v>
      </c>
      <c r="H15" s="257">
        <f>+'RPP 2nd TU'!K23</f>
        <v>-5988708.0864073755</v>
      </c>
      <c r="I15" s="258">
        <f>+E15+G15+H15</f>
        <v>19718027.55070984</v>
      </c>
      <c r="J15" s="98"/>
      <c r="K15" s="98"/>
    </row>
    <row r="16" spans="1:14" s="92" customFormat="1" x14ac:dyDescent="0.25">
      <c r="A16" s="239" t="s">
        <v>173</v>
      </c>
      <c r="B16" s="259">
        <v>0</v>
      </c>
      <c r="C16" s="260">
        <f>-'Data for 2nd TU'!H7</f>
        <v>35000000</v>
      </c>
      <c r="D16" s="261">
        <f>+'Data for 2nd TU'!G44</f>
        <v>2.7763164898064498E-2</v>
      </c>
      <c r="E16" s="260">
        <f>C16*D16</f>
        <v>971710.77143225737</v>
      </c>
      <c r="F16" s="261"/>
      <c r="G16" s="260"/>
      <c r="H16" s="262"/>
      <c r="I16" s="263">
        <f>+E16+G16+H16</f>
        <v>971710.77143225737</v>
      </c>
      <c r="J16" s="98"/>
      <c r="K16" s="134"/>
    </row>
    <row r="17" spans="1:12" s="92" customFormat="1" ht="15.75" thickBot="1" x14ac:dyDescent="0.3">
      <c r="A17" s="239" t="s">
        <v>174</v>
      </c>
      <c r="B17" s="259">
        <f>+'Data for 2nd TU'!H11</f>
        <v>286577132.16957605</v>
      </c>
      <c r="C17" s="260">
        <f>+'Data for 2nd TU'!H11</f>
        <v>286577132.16957605</v>
      </c>
      <c r="D17" s="265">
        <f>+'Data for 2nd TU'!G44</f>
        <v>2.7763164898064498E-2</v>
      </c>
      <c r="E17" s="204">
        <f>C17*D17</f>
        <v>7956288.1764383642</v>
      </c>
      <c r="F17" s="265"/>
      <c r="G17" s="264"/>
      <c r="H17" s="262"/>
      <c r="I17" s="263">
        <f>+E17+G17+H17</f>
        <v>7956288.1764383642</v>
      </c>
      <c r="J17" s="98"/>
    </row>
    <row r="18" spans="1:12" s="92" customFormat="1" ht="15.75" thickBot="1" x14ac:dyDescent="0.3">
      <c r="A18" s="125"/>
      <c r="B18" s="266">
        <f>SUM(B15:B17)</f>
        <v>500250000</v>
      </c>
      <c r="C18" s="266">
        <f>SUM(C15:C17)</f>
        <v>535250000</v>
      </c>
      <c r="D18" s="146"/>
      <c r="E18" s="266">
        <f>SUM(E15:E17)</f>
        <v>15754734.530124996</v>
      </c>
      <c r="F18" s="146"/>
      <c r="G18" s="266">
        <f>SUM(G15:G17)</f>
        <v>18880000.054862842</v>
      </c>
      <c r="H18" s="266">
        <f>SUM(H15:H17)</f>
        <v>-5988708.0864073755</v>
      </c>
      <c r="I18" s="267">
        <f>SUM(I15:I17)</f>
        <v>28646026.498580463</v>
      </c>
      <c r="J18" s="98"/>
      <c r="K18" s="98"/>
      <c r="L18" s="98"/>
    </row>
    <row r="19" spans="1:12" s="92" customFormat="1" ht="15.75" thickTop="1" x14ac:dyDescent="0.25">
      <c r="A19"/>
      <c r="B19"/>
      <c r="C19"/>
      <c r="D19"/>
      <c r="E19" s="375"/>
      <c r="F19" s="201"/>
      <c r="G19" s="8"/>
      <c r="H19" s="8"/>
      <c r="I19" s="202"/>
      <c r="J19" s="6" t="s">
        <v>94</v>
      </c>
      <c r="K19" s="98"/>
    </row>
    <row r="20" spans="1:12" s="92" customFormat="1" x14ac:dyDescent="0.25">
      <c r="A20" s="11" t="s">
        <v>332</v>
      </c>
      <c r="B20"/>
      <c r="C20"/>
      <c r="D20"/>
      <c r="E20"/>
      <c r="F20"/>
      <c r="G20"/>
      <c r="H20"/>
      <c r="I20"/>
      <c r="J20"/>
      <c r="K20" s="96"/>
    </row>
    <row r="21" spans="1:12" s="92" customFormat="1" ht="16.149999999999999" customHeight="1" thickBot="1" x14ac:dyDescent="0.3">
      <c r="A21" s="457" t="s">
        <v>336</v>
      </c>
      <c r="B21" s="458"/>
      <c r="C21" s="459"/>
      <c r="D21" s="448" t="s">
        <v>312</v>
      </c>
      <c r="E21" s="449"/>
      <c r="F21" s="143"/>
      <c r="G21" s="144"/>
      <c r="H21" s="144"/>
      <c r="I21" s="144"/>
      <c r="J21" s="144"/>
      <c r="K21" s="93"/>
    </row>
    <row r="22" spans="1:12" s="92" customFormat="1" ht="45" customHeight="1" thickBot="1" x14ac:dyDescent="0.3">
      <c r="A22" s="225" t="s">
        <v>313</v>
      </c>
      <c r="B22" s="249" t="s">
        <v>326</v>
      </c>
      <c r="C22" s="249" t="s">
        <v>327</v>
      </c>
      <c r="D22" s="285" t="s">
        <v>347</v>
      </c>
      <c r="E22" s="242" t="s">
        <v>40</v>
      </c>
      <c r="F22" s="8"/>
      <c r="G22" s="100"/>
      <c r="H22" s="100"/>
      <c r="I22" s="8"/>
      <c r="J22" s="8"/>
    </row>
    <row r="23" spans="1:12" s="92" customFormat="1" x14ac:dyDescent="0.25">
      <c r="A23" s="239" t="s">
        <v>173</v>
      </c>
      <c r="B23" s="259"/>
      <c r="C23" s="260"/>
      <c r="D23" s="261"/>
      <c r="E23" s="260">
        <f>+'Data for 2nd TU'!I77</f>
        <v>1980000</v>
      </c>
      <c r="F23" s="52"/>
      <c r="G23" s="100"/>
      <c r="H23" s="100"/>
      <c r="I23" s="8"/>
      <c r="J23" s="8"/>
    </row>
    <row r="24" spans="1:12" s="92" customFormat="1" ht="15.75" thickBot="1" x14ac:dyDescent="0.3">
      <c r="A24" s="239" t="s">
        <v>174</v>
      </c>
      <c r="B24" s="259">
        <f>B17</f>
        <v>286577132.16957605</v>
      </c>
      <c r="C24" s="260"/>
      <c r="D24" s="265">
        <f>+'Data for 2nd TU'!G48</f>
        <v>8.8359370314842575E-2</v>
      </c>
      <c r="E24" s="204">
        <f>+D24*B24</f>
        <v>25321774.945137154</v>
      </c>
      <c r="F24" s="52"/>
      <c r="G24" s="100"/>
      <c r="H24" s="100"/>
      <c r="I24" s="8"/>
      <c r="J24" s="8"/>
    </row>
    <row r="25" spans="1:12" s="92" customFormat="1" ht="15.75" thickBot="1" x14ac:dyDescent="0.3">
      <c r="A25" s="125"/>
      <c r="B25" s="224">
        <f>+B23+B24</f>
        <v>286577132.16957605</v>
      </c>
      <c r="C25" s="224">
        <f>+C23+C24</f>
        <v>0</v>
      </c>
      <c r="D25" s="147"/>
      <c r="E25" s="203">
        <f>+E23+E24</f>
        <v>27301774.945137154</v>
      </c>
      <c r="F25" s="52"/>
      <c r="G25" s="100"/>
      <c r="H25" s="101"/>
      <c r="I25" s="8"/>
      <c r="J25" s="8"/>
      <c r="K25" s="93"/>
    </row>
    <row r="26" spans="1:12" s="92" customFormat="1" x14ac:dyDescent="0.25">
      <c r="A26" s="8"/>
      <c r="B26" s="33"/>
      <c r="C26" s="33"/>
      <c r="D26" s="32"/>
      <c r="E26" s="103"/>
      <c r="F26" s="8"/>
      <c r="G26" s="100"/>
      <c r="H26" s="101"/>
      <c r="I26" s="8"/>
      <c r="J26" s="8"/>
      <c r="K26" s="93"/>
    </row>
    <row r="27" spans="1:12" s="92" customFormat="1" ht="15.75" thickBot="1" x14ac:dyDescent="0.3">
      <c r="A27" s="11" t="s">
        <v>333</v>
      </c>
      <c r="B27" s="32"/>
      <c r="C27" s="33"/>
      <c r="D27" s="8"/>
      <c r="E27"/>
      <c r="F27"/>
      <c r="G27"/>
      <c r="H27" s="6" t="s">
        <v>94</v>
      </c>
      <c r="I27"/>
      <c r="J27"/>
    </row>
    <row r="28" spans="1:12" s="92" customFormat="1" ht="15" customHeight="1" thickBot="1" x14ac:dyDescent="0.3">
      <c r="A28" s="238"/>
      <c r="B28" s="286"/>
      <c r="C28" s="468" t="s">
        <v>322</v>
      </c>
      <c r="D28" s="446"/>
      <c r="E28" s="446"/>
      <c r="F28" s="446"/>
      <c r="G28" s="446"/>
      <c r="H28" s="446"/>
      <c r="I28" s="447"/>
    </row>
    <row r="29" spans="1:12" s="92" customFormat="1" ht="15.75" thickBot="1" x14ac:dyDescent="0.3">
      <c r="A29" s="480"/>
      <c r="B29" s="481"/>
      <c r="C29" s="149"/>
      <c r="D29" s="36"/>
      <c r="E29" s="100"/>
      <c r="F29" s="488"/>
      <c r="G29" s="489"/>
      <c r="H29" s="489"/>
      <c r="I29" s="490"/>
    </row>
    <row r="30" spans="1:12" s="92" customFormat="1" ht="15" customHeight="1" thickBot="1" x14ac:dyDescent="0.3">
      <c r="A30" s="482"/>
      <c r="B30" s="483"/>
      <c r="C30" s="466" t="s">
        <v>318</v>
      </c>
      <c r="D30" s="467"/>
      <c r="E30" s="230">
        <f>+I18-E9</f>
        <v>-55320.970968812704</v>
      </c>
      <c r="F30" s="472" t="s">
        <v>319</v>
      </c>
      <c r="G30" s="473"/>
      <c r="H30" s="473"/>
      <c r="I30" s="474"/>
      <c r="J30" s="98"/>
    </row>
    <row r="31" spans="1:12" s="92" customFormat="1" ht="16.5" thickTop="1" thickBot="1" x14ac:dyDescent="0.3">
      <c r="A31" s="484"/>
      <c r="B31" s="485"/>
      <c r="C31" s="148"/>
      <c r="E31" s="205"/>
      <c r="F31" s="469"/>
      <c r="G31" s="470"/>
      <c r="H31" s="470"/>
      <c r="I31" s="471"/>
    </row>
    <row r="32" spans="1:12" s="92" customFormat="1" ht="16.5" thickBot="1" x14ac:dyDescent="0.3">
      <c r="A32" s="225" t="s">
        <v>313</v>
      </c>
      <c r="B32" s="226" t="s">
        <v>325</v>
      </c>
      <c r="C32" s="227" t="s">
        <v>179</v>
      </c>
      <c r="D32" s="228" t="s">
        <v>180</v>
      </c>
      <c r="E32" s="229" t="s">
        <v>183</v>
      </c>
      <c r="F32" s="475" t="s">
        <v>182</v>
      </c>
      <c r="G32" s="476"/>
      <c r="H32" s="476"/>
      <c r="I32" s="477"/>
    </row>
    <row r="33" spans="1:10" s="92" customFormat="1" x14ac:dyDescent="0.25">
      <c r="A33" s="235" t="s">
        <v>316</v>
      </c>
      <c r="B33" s="236" t="s">
        <v>314</v>
      </c>
      <c r="C33" s="269">
        <f>+C15</f>
        <v>213672867.83042395</v>
      </c>
      <c r="D33" s="270">
        <f>((+I15)/C15)-D6</f>
        <v>0</v>
      </c>
      <c r="E33" s="271">
        <f>+C33*D33</f>
        <v>0</v>
      </c>
      <c r="F33" s="473" t="s">
        <v>320</v>
      </c>
      <c r="G33" s="473"/>
      <c r="H33" s="473"/>
      <c r="I33" s="474"/>
    </row>
    <row r="34" spans="1:10" s="92" customFormat="1" x14ac:dyDescent="0.25">
      <c r="A34" s="235" t="s">
        <v>316</v>
      </c>
      <c r="B34" s="236" t="s">
        <v>315</v>
      </c>
      <c r="C34" s="272">
        <f>+C15-C6</f>
        <v>-427132.16957604885</v>
      </c>
      <c r="D34" s="273">
        <f>D6</f>
        <v>9.2281382053422692E-2</v>
      </c>
      <c r="E34" s="274">
        <f>+C34*D34</f>
        <v>-39416.346927954692</v>
      </c>
      <c r="F34" s="473" t="s">
        <v>349</v>
      </c>
      <c r="G34" s="473"/>
      <c r="H34" s="473"/>
      <c r="I34" s="474"/>
    </row>
    <row r="35" spans="1:10" s="92" customFormat="1" x14ac:dyDescent="0.25">
      <c r="A35" s="237" t="s">
        <v>174</v>
      </c>
      <c r="B35" s="236" t="s">
        <v>175</v>
      </c>
      <c r="C35" s="272">
        <f>+C16+C17</f>
        <v>321577132.16957605</v>
      </c>
      <c r="D35" s="275">
        <f>+D16-D7</f>
        <v>0</v>
      </c>
      <c r="E35" s="274">
        <f>+C35*D35</f>
        <v>0</v>
      </c>
      <c r="F35" s="473" t="s">
        <v>320</v>
      </c>
      <c r="G35" s="473"/>
      <c r="H35" s="473"/>
      <c r="I35" s="474"/>
      <c r="J35" s="90"/>
    </row>
    <row r="36" spans="1:10" s="92" customFormat="1" ht="15.75" thickBot="1" x14ac:dyDescent="0.3">
      <c r="A36" s="235" t="s">
        <v>174</v>
      </c>
      <c r="B36" s="236" t="s">
        <v>315</v>
      </c>
      <c r="C36" s="276">
        <f>(+C17+C16)-(C8+C7)</f>
        <v>-572867.83042395115</v>
      </c>
      <c r="D36" s="277">
        <f>+D7</f>
        <v>2.7763164898064498E-2</v>
      </c>
      <c r="E36" s="278">
        <f>+C36*D36</f>
        <v>-15904.624040856606</v>
      </c>
      <c r="F36" s="473" t="s">
        <v>349</v>
      </c>
      <c r="G36" s="473"/>
      <c r="H36" s="473"/>
      <c r="I36" s="474"/>
      <c r="J36" s="90"/>
    </row>
    <row r="37" spans="1:10" s="92" customFormat="1" ht="15.75" thickBot="1" x14ac:dyDescent="0.3">
      <c r="A37" s="126"/>
      <c r="B37" s="125"/>
      <c r="C37" s="248" t="s">
        <v>324</v>
      </c>
      <c r="D37" s="231"/>
      <c r="E37" s="232">
        <f>SUM(E33:E36)</f>
        <v>-55320.9709688113</v>
      </c>
      <c r="F37" s="472"/>
      <c r="G37" s="473"/>
      <c r="H37" s="473"/>
      <c r="I37" s="474"/>
    </row>
    <row r="38" spans="1:10" s="92" customFormat="1" ht="15.75" thickTop="1" x14ac:dyDescent="0.25">
      <c r="A38" s="100"/>
      <c r="B38" s="8"/>
      <c r="C38" s="268"/>
      <c r="D38" s="8"/>
      <c r="E38" s="103"/>
      <c r="F38" s="268"/>
      <c r="G38" s="268"/>
      <c r="H38" s="268"/>
      <c r="I38" s="268"/>
    </row>
    <row r="39" spans="1:10" s="92" customFormat="1" ht="15.75" thickBot="1" x14ac:dyDescent="0.3">
      <c r="A39" s="11" t="s">
        <v>334</v>
      </c>
      <c r="B39" s="33"/>
      <c r="C39" s="33"/>
      <c r="D39"/>
      <c r="E39"/>
      <c r="F39"/>
      <c r="G39" s="90"/>
      <c r="H39" s="90"/>
      <c r="I39" s="100"/>
      <c r="J39"/>
    </row>
    <row r="40" spans="1:10" s="92" customFormat="1" ht="16.5" thickBot="1" x14ac:dyDescent="0.3">
      <c r="A40" s="238"/>
      <c r="B40" s="246"/>
      <c r="C40" s="468" t="s">
        <v>323</v>
      </c>
      <c r="D40" s="446"/>
      <c r="E40" s="446"/>
      <c r="F40" s="446" t="s">
        <v>182</v>
      </c>
      <c r="G40" s="446"/>
      <c r="H40" s="446"/>
      <c r="I40" s="447"/>
    </row>
    <row r="41" spans="1:10" s="92" customFormat="1" ht="15.75" thickBot="1" x14ac:dyDescent="0.3">
      <c r="A41" s="480"/>
      <c r="B41" s="481"/>
      <c r="C41" s="247"/>
      <c r="D41" s="36"/>
      <c r="E41" s="8"/>
      <c r="F41" s="469"/>
      <c r="G41" s="470"/>
      <c r="H41" s="470"/>
      <c r="I41" s="471"/>
    </row>
    <row r="42" spans="1:10" s="92" customFormat="1" ht="15" customHeight="1" thickBot="1" x14ac:dyDescent="0.3">
      <c r="A42" s="482"/>
      <c r="B42" s="483"/>
      <c r="C42" s="466" t="s">
        <v>318</v>
      </c>
      <c r="D42" s="467"/>
      <c r="E42" s="230">
        <f>+E25-G9</f>
        <v>-5087410.0548628457</v>
      </c>
      <c r="F42" s="472" t="s">
        <v>319</v>
      </c>
      <c r="G42" s="473"/>
      <c r="H42" s="473"/>
      <c r="I42" s="474"/>
    </row>
    <row r="43" spans="1:10" s="92" customFormat="1" ht="16.5" thickTop="1" thickBot="1" x14ac:dyDescent="0.3">
      <c r="A43" s="484"/>
      <c r="B43" s="485"/>
      <c r="C43" s="148"/>
      <c r="E43" s="205"/>
      <c r="F43" s="469"/>
      <c r="G43" s="470"/>
      <c r="H43" s="470"/>
      <c r="I43" s="471"/>
    </row>
    <row r="44" spans="1:10" s="92" customFormat="1" ht="16.5" thickBot="1" x14ac:dyDescent="0.3">
      <c r="A44" s="225" t="s">
        <v>313</v>
      </c>
      <c r="B44" s="226" t="s">
        <v>325</v>
      </c>
      <c r="C44" s="227" t="s">
        <v>179</v>
      </c>
      <c r="D44" s="228" t="s">
        <v>180</v>
      </c>
      <c r="E44" s="229" t="s">
        <v>183</v>
      </c>
      <c r="F44" s="475" t="s">
        <v>182</v>
      </c>
      <c r="G44" s="476"/>
      <c r="H44" s="476"/>
      <c r="I44" s="477"/>
    </row>
    <row r="45" spans="1:10" s="92" customFormat="1" x14ac:dyDescent="0.25">
      <c r="A45" s="233" t="s">
        <v>174</v>
      </c>
      <c r="B45" s="234" t="s">
        <v>314</v>
      </c>
      <c r="C45" s="279">
        <f>+B24</f>
        <v>286577132.16957605</v>
      </c>
      <c r="D45" s="280">
        <f>+D24-F8</f>
        <v>-1.7540629685157419E-2</v>
      </c>
      <c r="E45" s="281">
        <f>+D45*C45</f>
        <v>-5026743.351620947</v>
      </c>
      <c r="F45" s="478" t="s">
        <v>321</v>
      </c>
      <c r="G45" s="478"/>
      <c r="H45" s="478"/>
      <c r="I45" s="479"/>
      <c r="J45" s="133"/>
    </row>
    <row r="46" spans="1:10" s="92" customFormat="1" ht="15.75" thickBot="1" x14ac:dyDescent="0.3">
      <c r="A46" s="235" t="s">
        <v>174</v>
      </c>
      <c r="B46" s="236" t="s">
        <v>315</v>
      </c>
      <c r="C46" s="282">
        <f>+B8-B24</f>
        <v>572867.83042395115</v>
      </c>
      <c r="D46" s="283">
        <f>-F8</f>
        <v>-0.10589999999999999</v>
      </c>
      <c r="E46" s="284">
        <f>+C46*D46</f>
        <v>-60666.703241896423</v>
      </c>
      <c r="F46" s="486" t="s">
        <v>349</v>
      </c>
      <c r="G46" s="486"/>
      <c r="H46" s="486"/>
      <c r="I46" s="487"/>
      <c r="J46" s="145"/>
    </row>
    <row r="47" spans="1:10" s="92" customFormat="1" ht="15.75" thickBot="1" x14ac:dyDescent="0.3">
      <c r="A47" s="126"/>
      <c r="B47" s="125"/>
      <c r="C47" s="248" t="s">
        <v>324</v>
      </c>
      <c r="D47" s="248"/>
      <c r="E47" s="232">
        <f>SUM(E45:E46)</f>
        <v>-5087410.0548628438</v>
      </c>
      <c r="F47" s="463"/>
      <c r="G47" s="464"/>
      <c r="H47" s="464"/>
      <c r="I47" s="465"/>
    </row>
    <row r="48" spans="1:10" s="92" customFormat="1" ht="15.75" thickTop="1" x14ac:dyDescent="0.25">
      <c r="A48"/>
      <c r="B48" s="102"/>
      <c r="C48"/>
    </row>
    <row r="58" spans="9:11" x14ac:dyDescent="0.25">
      <c r="I58" s="138"/>
      <c r="J58" s="91"/>
      <c r="K58" s="93"/>
    </row>
    <row r="59" spans="9:11" x14ac:dyDescent="0.25">
      <c r="I59" s="138"/>
      <c r="J59" s="91"/>
      <c r="K59" s="93"/>
    </row>
    <row r="60" spans="9:11" x14ac:dyDescent="0.25">
      <c r="I60" s="84"/>
      <c r="J60" s="74"/>
      <c r="K60" s="93"/>
    </row>
  </sheetData>
  <mergeCells count="32">
    <mergeCell ref="C28:I28"/>
    <mergeCell ref="A29:B31"/>
    <mergeCell ref="A41:B43"/>
    <mergeCell ref="F46:I46"/>
    <mergeCell ref="F37:I37"/>
    <mergeCell ref="F29:I29"/>
    <mergeCell ref="F47:I47"/>
    <mergeCell ref="C30:D30"/>
    <mergeCell ref="C42:D42"/>
    <mergeCell ref="C40:I40"/>
    <mergeCell ref="F41:I41"/>
    <mergeCell ref="F42:I42"/>
    <mergeCell ref="F43:I43"/>
    <mergeCell ref="F44:I44"/>
    <mergeCell ref="F45:I45"/>
    <mergeCell ref="F30:I30"/>
    <mergeCell ref="F31:I31"/>
    <mergeCell ref="F32:I32"/>
    <mergeCell ref="F33:I33"/>
    <mergeCell ref="F34:I34"/>
    <mergeCell ref="F35:I35"/>
    <mergeCell ref="F36:I36"/>
    <mergeCell ref="A1:I1"/>
    <mergeCell ref="D12:I12"/>
    <mergeCell ref="D21:E21"/>
    <mergeCell ref="F13:G13"/>
    <mergeCell ref="D13:E13"/>
    <mergeCell ref="F4:G4"/>
    <mergeCell ref="D4:E4"/>
    <mergeCell ref="A4:C4"/>
    <mergeCell ref="A13:C13"/>
    <mergeCell ref="A21:C21"/>
  </mergeCells>
  <pageMargins left="0.7" right="0.7" top="0.75" bottom="0.75" header="0.3" footer="0.3"/>
  <pageSetup paperSize="17"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showGridLines="0" topLeftCell="A142" zoomScaleNormal="100" workbookViewId="0">
      <selection activeCell="E139" sqref="E139:E140"/>
    </sheetView>
  </sheetViews>
  <sheetFormatPr defaultColWidth="9.140625" defaultRowHeight="15" x14ac:dyDescent="0.25"/>
  <cols>
    <col min="1" max="1" width="4.5703125" style="12" customWidth="1"/>
    <col min="2" max="2" width="5" style="12" customWidth="1"/>
    <col min="3" max="3" width="65.140625" style="12" customWidth="1"/>
    <col min="4" max="4" width="18.28515625" style="12" customWidth="1"/>
    <col min="5" max="5" width="14.85546875" style="12" bestFit="1" customWidth="1"/>
    <col min="6" max="6" width="9.140625" style="12"/>
    <col min="7" max="7" width="14.7109375" style="12" bestFit="1" customWidth="1"/>
    <col min="8" max="14" width="9.140625" style="12"/>
    <col min="15" max="15" width="15" style="12" bestFit="1" customWidth="1"/>
    <col min="16" max="16" width="13.28515625" style="12" bestFit="1" customWidth="1"/>
    <col min="17" max="16384" width="9.140625" style="12"/>
  </cols>
  <sheetData>
    <row r="1" spans="1:5" ht="15" customHeight="1" thickBot="1" x14ac:dyDescent="0.3">
      <c r="B1" s="112"/>
    </row>
    <row r="2" spans="1:5" ht="15.75" thickTop="1" x14ac:dyDescent="0.25">
      <c r="B2" s="390" t="s">
        <v>151</v>
      </c>
      <c r="C2" s="391"/>
      <c r="D2" s="391"/>
      <c r="E2" s="400"/>
    </row>
    <row r="3" spans="1:5" x14ac:dyDescent="0.25">
      <c r="B3" s="394" t="s">
        <v>88</v>
      </c>
      <c r="C3" s="102"/>
      <c r="D3" s="389"/>
      <c r="E3" s="395"/>
    </row>
    <row r="4" spans="1:5" s="99" customFormat="1" x14ac:dyDescent="0.25">
      <c r="B4" s="396"/>
      <c r="C4" s="109" t="s">
        <v>96</v>
      </c>
      <c r="D4" s="109" t="s">
        <v>97</v>
      </c>
      <c r="E4" s="397" t="s">
        <v>98</v>
      </c>
    </row>
    <row r="5" spans="1:5" s="157" customFormat="1" ht="17.25" x14ac:dyDescent="0.25">
      <c r="B5" s="394" t="s">
        <v>284</v>
      </c>
      <c r="C5" s="109"/>
      <c r="D5" s="65">
        <f>+'Data for Settlement &amp; 1st TU'!D54</f>
        <v>5200000</v>
      </c>
      <c r="E5" s="397"/>
    </row>
    <row r="6" spans="1:5" x14ac:dyDescent="0.25">
      <c r="A6" s="13"/>
      <c r="B6" s="394" t="s">
        <v>152</v>
      </c>
      <c r="C6" s="102"/>
      <c r="D6" s="65">
        <f>+'Data for Settlement &amp; 1st TU'!D55</f>
        <v>15434562.8717077</v>
      </c>
      <c r="E6" s="398"/>
    </row>
    <row r="7" spans="1:5" x14ac:dyDescent="0.25">
      <c r="A7" s="13"/>
      <c r="B7" s="394" t="s">
        <v>153</v>
      </c>
      <c r="C7" s="102"/>
      <c r="D7" s="65">
        <f>+'Data for Settlement &amp; 1st TU'!D57</f>
        <v>17707500</v>
      </c>
      <c r="E7" s="398"/>
    </row>
    <row r="8" spans="1:5" x14ac:dyDescent="0.25">
      <c r="A8" s="13"/>
      <c r="B8" s="394" t="s">
        <v>154</v>
      </c>
      <c r="C8" s="102"/>
      <c r="D8" s="65">
        <f>+'Data for Settlement &amp; 1st TU'!D56</f>
        <v>1850000</v>
      </c>
      <c r="E8" s="398"/>
    </row>
    <row r="9" spans="1:5" x14ac:dyDescent="0.25">
      <c r="A9" s="13"/>
      <c r="B9" s="394" t="s">
        <v>155</v>
      </c>
      <c r="C9" s="102"/>
      <c r="D9" s="65">
        <f>+'Data for Settlement &amp; 1st TU'!D58</f>
        <v>21642500</v>
      </c>
      <c r="E9" s="398"/>
    </row>
    <row r="10" spans="1:5" x14ac:dyDescent="0.25">
      <c r="B10" s="394"/>
      <c r="C10" s="102" t="s">
        <v>156</v>
      </c>
      <c r="D10" s="102"/>
      <c r="E10" s="398">
        <f>-'RPP Settlement &amp; 1st TU'!K12</f>
        <v>4271000.0000000019</v>
      </c>
    </row>
    <row r="11" spans="1:5" x14ac:dyDescent="0.25">
      <c r="B11" s="394"/>
      <c r="C11" s="102" t="s">
        <v>247</v>
      </c>
      <c r="D11" s="102"/>
      <c r="E11" s="398">
        <f>-'Data for Settlement &amp; 1st TU'!D60</f>
        <v>4965699.2353440998</v>
      </c>
    </row>
    <row r="12" spans="1:5" x14ac:dyDescent="0.25">
      <c r="B12" s="394"/>
      <c r="C12" s="102" t="s">
        <v>1</v>
      </c>
      <c r="D12" s="65"/>
      <c r="E12" s="398">
        <f>+'Data for Settlement &amp; 1st TU'!D61</f>
        <v>52597863.636363603</v>
      </c>
    </row>
    <row r="13" spans="1:5" ht="15.75" thickBot="1" x14ac:dyDescent="0.3">
      <c r="B13" s="394"/>
      <c r="C13" s="102"/>
      <c r="D13" s="61">
        <f>SUM(D5:D12)</f>
        <v>61834562.8717077</v>
      </c>
      <c r="E13" s="399">
        <f>SUM(E5:E12)</f>
        <v>61834562.871707708</v>
      </c>
    </row>
    <row r="14" spans="1:5" ht="52.15" customHeight="1" thickTop="1" thickBot="1" x14ac:dyDescent="0.3">
      <c r="A14" s="13"/>
      <c r="B14" s="492" t="s">
        <v>286</v>
      </c>
      <c r="C14" s="493"/>
      <c r="D14" s="493"/>
      <c r="E14" s="494"/>
    </row>
    <row r="15" spans="1:5" ht="15.75" thickTop="1" x14ac:dyDescent="0.25">
      <c r="A15" s="13"/>
    </row>
    <row r="16" spans="1:5" x14ac:dyDescent="0.25">
      <c r="A16" s="13"/>
    </row>
    <row r="17" spans="1:6" x14ac:dyDescent="0.25">
      <c r="B17" s="190" t="s">
        <v>151</v>
      </c>
      <c r="C17" s="185"/>
      <c r="D17" s="185"/>
      <c r="E17" s="185"/>
    </row>
    <row r="18" spans="1:6" x14ac:dyDescent="0.25">
      <c r="A18" s="104"/>
      <c r="B18" s="185" t="s">
        <v>89</v>
      </c>
      <c r="C18" s="185"/>
      <c r="D18" s="186"/>
      <c r="E18" s="186"/>
    </row>
    <row r="19" spans="1:6" s="99" customFormat="1" x14ac:dyDescent="0.25">
      <c r="B19" s="187"/>
      <c r="C19" s="187" t="s">
        <v>96</v>
      </c>
      <c r="D19" s="187" t="s">
        <v>97</v>
      </c>
      <c r="E19" s="187" t="s">
        <v>98</v>
      </c>
    </row>
    <row r="20" spans="1:6" x14ac:dyDescent="0.25">
      <c r="A20" s="13"/>
      <c r="B20" s="185" t="s">
        <v>7</v>
      </c>
      <c r="C20" s="185"/>
      <c r="D20" s="192">
        <f>SUM(E21:E24)</f>
        <v>60077863.63636364</v>
      </c>
      <c r="E20" s="192"/>
      <c r="F20" s="9"/>
    </row>
    <row r="21" spans="1:6" x14ac:dyDescent="0.25">
      <c r="A21" s="13"/>
      <c r="B21" s="185"/>
      <c r="C21" s="185" t="s">
        <v>157</v>
      </c>
      <c r="D21" s="192"/>
      <c r="E21" s="192">
        <f>+'Data for Settlement &amp; 1st TU'!D72</f>
        <v>20524000</v>
      </c>
      <c r="F21" s="9"/>
    </row>
    <row r="22" spans="1:6" x14ac:dyDescent="0.25">
      <c r="B22" s="185"/>
      <c r="C22" s="185" t="s">
        <v>44</v>
      </c>
      <c r="D22" s="192"/>
      <c r="E22" s="192">
        <f>+'Data for Settlement &amp; 1st TU'!D76</f>
        <v>8581363.6363636367</v>
      </c>
      <c r="F22" s="9"/>
    </row>
    <row r="23" spans="1:6" x14ac:dyDescent="0.25">
      <c r="B23" s="185"/>
      <c r="C23" s="185" t="s">
        <v>158</v>
      </c>
      <c r="D23" s="192"/>
      <c r="E23" s="192">
        <f>+'Data for Settlement &amp; 1st TU'!D77</f>
        <v>1850000</v>
      </c>
      <c r="F23" s="9"/>
    </row>
    <row r="24" spans="1:6" x14ac:dyDescent="0.25">
      <c r="B24" s="185"/>
      <c r="C24" s="185" t="s">
        <v>159</v>
      </c>
      <c r="D24" s="192"/>
      <c r="E24" s="192">
        <f>+'Data for Settlement &amp; 1st TU'!D78</f>
        <v>29122500</v>
      </c>
      <c r="F24" s="9"/>
    </row>
    <row r="25" spans="1:6" ht="15.75" thickBot="1" x14ac:dyDescent="0.3">
      <c r="B25" s="185"/>
      <c r="C25" s="185"/>
      <c r="D25" s="189">
        <f>SUM(D20:D23)</f>
        <v>60077863.63636364</v>
      </c>
      <c r="E25" s="189">
        <f>SUM(E20:E24)</f>
        <v>60077863.63636364</v>
      </c>
    </row>
    <row r="26" spans="1:6" ht="79.900000000000006" customHeight="1" thickTop="1" x14ac:dyDescent="0.25">
      <c r="B26" s="501" t="s">
        <v>268</v>
      </c>
      <c r="C26" s="501"/>
      <c r="D26" s="501"/>
      <c r="E26" s="501"/>
    </row>
    <row r="27" spans="1:6" ht="15" customHeight="1" x14ac:dyDescent="0.25">
      <c r="B27" s="156"/>
      <c r="C27" s="156"/>
      <c r="D27" s="156"/>
      <c r="E27" s="156"/>
      <c r="F27" s="9"/>
    </row>
    <row r="28" spans="1:6" ht="15.75" thickBot="1" x14ac:dyDescent="0.3">
      <c r="D28" s="9"/>
      <c r="E28" s="14"/>
      <c r="F28" s="9"/>
    </row>
    <row r="29" spans="1:6" ht="15.75" thickTop="1" x14ac:dyDescent="0.25">
      <c r="B29" s="390" t="s">
        <v>151</v>
      </c>
      <c r="C29" s="391"/>
      <c r="D29" s="391"/>
      <c r="E29" s="400"/>
    </row>
    <row r="30" spans="1:6" x14ac:dyDescent="0.25">
      <c r="A30" s="104"/>
      <c r="B30" s="394" t="s">
        <v>198</v>
      </c>
      <c r="C30" s="102"/>
      <c r="D30" s="389"/>
      <c r="E30" s="395"/>
    </row>
    <row r="31" spans="1:6" s="157" customFormat="1" x14ac:dyDescent="0.25">
      <c r="B31" s="396"/>
      <c r="C31" s="109" t="s">
        <v>96</v>
      </c>
      <c r="D31" s="109" t="s">
        <v>97</v>
      </c>
      <c r="E31" s="397" t="s">
        <v>98</v>
      </c>
    </row>
    <row r="32" spans="1:6" s="157" customFormat="1" x14ac:dyDescent="0.25">
      <c r="B32" s="394" t="s">
        <v>359</v>
      </c>
      <c r="C32" s="109"/>
      <c r="D32" s="431">
        <f>'T-Accounts'!M41</f>
        <v>7480000</v>
      </c>
      <c r="E32" s="397"/>
      <c r="F32" s="194"/>
    </row>
    <row r="33" spans="1:6" x14ac:dyDescent="0.25">
      <c r="A33" s="13"/>
      <c r="B33" s="394"/>
      <c r="C33" s="102" t="s">
        <v>199</v>
      </c>
      <c r="D33" s="65"/>
      <c r="E33" s="398">
        <f>D32</f>
        <v>7480000</v>
      </c>
      <c r="F33" s="9"/>
    </row>
    <row r="34" spans="1:6" ht="15.75" thickBot="1" x14ac:dyDescent="0.3">
      <c r="A34" s="13"/>
      <c r="B34" s="394"/>
      <c r="C34" s="102"/>
      <c r="D34" s="61">
        <f>SUM(D32:D33)</f>
        <v>7480000</v>
      </c>
      <c r="E34" s="399">
        <f>SUM(E33:E33)</f>
        <v>7480000</v>
      </c>
      <c r="F34" s="9"/>
    </row>
    <row r="35" spans="1:6" ht="15.75" thickTop="1" x14ac:dyDescent="0.25">
      <c r="A35" s="13"/>
      <c r="B35" s="502" t="s">
        <v>360</v>
      </c>
      <c r="C35" s="503"/>
      <c r="D35" s="503"/>
      <c r="E35" s="504"/>
      <c r="F35" s="9"/>
    </row>
    <row r="36" spans="1:6" ht="15.75" thickBot="1" x14ac:dyDescent="0.3">
      <c r="A36" s="13"/>
      <c r="B36" s="495"/>
      <c r="C36" s="496"/>
      <c r="D36" s="496"/>
      <c r="E36" s="497"/>
      <c r="F36" s="9"/>
    </row>
    <row r="37" spans="1:6" ht="16.5" thickTop="1" thickBot="1" x14ac:dyDescent="0.3">
      <c r="A37" s="13"/>
      <c r="D37" s="210"/>
    </row>
    <row r="38" spans="1:6" ht="15.75" thickTop="1" x14ac:dyDescent="0.25">
      <c r="A38" s="13"/>
      <c r="B38" s="390" t="s">
        <v>160</v>
      </c>
      <c r="C38" s="391"/>
      <c r="D38" s="432"/>
      <c r="E38" s="433"/>
      <c r="F38" s="9"/>
    </row>
    <row r="39" spans="1:6" x14ac:dyDescent="0.25">
      <c r="B39" s="394" t="s">
        <v>197</v>
      </c>
      <c r="C39" s="102"/>
      <c r="D39" s="389"/>
      <c r="E39" s="395"/>
    </row>
    <row r="40" spans="1:6" s="99" customFormat="1" x14ac:dyDescent="0.25">
      <c r="B40" s="396"/>
      <c r="C40" s="109" t="s">
        <v>96</v>
      </c>
      <c r="D40" s="109" t="s">
        <v>97</v>
      </c>
      <c r="E40" s="397" t="s">
        <v>98</v>
      </c>
    </row>
    <row r="41" spans="1:6" x14ac:dyDescent="0.25">
      <c r="B41" s="394" t="s">
        <v>164</v>
      </c>
      <c r="C41" s="102"/>
      <c r="D41" s="65">
        <f>E10</f>
        <v>4271000.0000000019</v>
      </c>
      <c r="E41" s="398"/>
    </row>
    <row r="42" spans="1:6" x14ac:dyDescent="0.25">
      <c r="B42" s="394" t="s">
        <v>280</v>
      </c>
      <c r="C42" s="102"/>
      <c r="D42" s="65">
        <f t="shared" ref="D42:D43" si="0">E11</f>
        <v>4965699.2353440998</v>
      </c>
      <c r="E42" s="398"/>
    </row>
    <row r="43" spans="1:6" x14ac:dyDescent="0.25">
      <c r="B43" s="394" t="s">
        <v>45</v>
      </c>
      <c r="C43" s="102"/>
      <c r="D43" s="65">
        <f t="shared" si="0"/>
        <v>52597863.636363603</v>
      </c>
      <c r="E43" s="398"/>
    </row>
    <row r="44" spans="1:6" x14ac:dyDescent="0.25">
      <c r="B44" s="394"/>
      <c r="C44" s="102" t="s">
        <v>281</v>
      </c>
      <c r="D44" s="65"/>
      <c r="E44" s="398">
        <f>D5</f>
        <v>5200000</v>
      </c>
    </row>
    <row r="45" spans="1:6" x14ac:dyDescent="0.25">
      <c r="B45" s="394"/>
      <c r="C45" s="102" t="s">
        <v>282</v>
      </c>
      <c r="D45" s="65"/>
      <c r="E45" s="398">
        <f t="shared" ref="E45:E48" si="1">D6</f>
        <v>15434562.8717077</v>
      </c>
    </row>
    <row r="46" spans="1:6" x14ac:dyDescent="0.25">
      <c r="B46" s="394"/>
      <c r="C46" s="102" t="s">
        <v>162</v>
      </c>
      <c r="D46" s="65"/>
      <c r="E46" s="398">
        <f t="shared" si="1"/>
        <v>17707500</v>
      </c>
    </row>
    <row r="47" spans="1:6" x14ac:dyDescent="0.25">
      <c r="B47" s="394"/>
      <c r="C47" s="102" t="s">
        <v>161</v>
      </c>
      <c r="D47" s="65"/>
      <c r="E47" s="398">
        <f t="shared" si="1"/>
        <v>1850000</v>
      </c>
    </row>
    <row r="48" spans="1:6" x14ac:dyDescent="0.25">
      <c r="B48" s="394"/>
      <c r="C48" s="102" t="s">
        <v>163</v>
      </c>
      <c r="D48" s="65"/>
      <c r="E48" s="398">
        <f t="shared" si="1"/>
        <v>21642500</v>
      </c>
    </row>
    <row r="49" spans="2:6" ht="15.75" thickBot="1" x14ac:dyDescent="0.3">
      <c r="B49" s="394"/>
      <c r="C49" s="102"/>
      <c r="D49" s="61">
        <f>SUM(D41:D48)</f>
        <v>61834562.871707708</v>
      </c>
      <c r="E49" s="399">
        <f>SUM(E44:E48)</f>
        <v>61834562.8717077</v>
      </c>
    </row>
    <row r="50" spans="2:6" ht="16.5" thickTop="1" thickBot="1" x14ac:dyDescent="0.3">
      <c r="B50" s="492" t="s">
        <v>165</v>
      </c>
      <c r="C50" s="493"/>
      <c r="D50" s="493"/>
      <c r="E50" s="494"/>
    </row>
    <row r="51" spans="2:6" ht="15.75" thickTop="1" x14ac:dyDescent="0.25"/>
    <row r="52" spans="2:6" x14ac:dyDescent="0.25">
      <c r="B52" s="117"/>
      <c r="C52" s="117"/>
      <c r="D52" s="117"/>
      <c r="E52" s="117"/>
    </row>
    <row r="53" spans="2:6" x14ac:dyDescent="0.25">
      <c r="B53" s="190" t="s">
        <v>160</v>
      </c>
      <c r="C53" s="185"/>
      <c r="D53" s="185"/>
      <c r="E53" s="185"/>
    </row>
    <row r="54" spans="2:6" x14ac:dyDescent="0.25">
      <c r="B54" s="185" t="s">
        <v>201</v>
      </c>
      <c r="C54" s="185"/>
      <c r="D54" s="186"/>
      <c r="E54" s="186"/>
    </row>
    <row r="55" spans="2:6" x14ac:dyDescent="0.25">
      <c r="B55" s="187"/>
      <c r="C55" s="187" t="s">
        <v>96</v>
      </c>
      <c r="D55" s="187" t="s">
        <v>97</v>
      </c>
      <c r="E55" s="187" t="s">
        <v>98</v>
      </c>
      <c r="F55" s="99"/>
    </row>
    <row r="56" spans="2:6" x14ac:dyDescent="0.25">
      <c r="B56" s="185"/>
      <c r="C56" s="185"/>
      <c r="D56" s="185"/>
      <c r="E56" s="185"/>
    </row>
    <row r="57" spans="2:6" x14ac:dyDescent="0.25">
      <c r="B57" s="185" t="s">
        <v>167</v>
      </c>
      <c r="C57" s="185"/>
      <c r="D57" s="192">
        <f>+E21</f>
        <v>20524000</v>
      </c>
      <c r="E57" s="192"/>
    </row>
    <row r="58" spans="2:6" x14ac:dyDescent="0.25">
      <c r="B58" s="185" t="s">
        <v>47</v>
      </c>
      <c r="C58" s="185"/>
      <c r="D58" s="192">
        <f>+E22</f>
        <v>8581363.6363636367</v>
      </c>
      <c r="E58" s="192"/>
    </row>
    <row r="59" spans="2:6" x14ac:dyDescent="0.25">
      <c r="B59" s="185" t="s">
        <v>168</v>
      </c>
      <c r="C59" s="185"/>
      <c r="D59" s="192">
        <f>+E23</f>
        <v>1850000</v>
      </c>
      <c r="E59" s="192"/>
    </row>
    <row r="60" spans="2:6" x14ac:dyDescent="0.25">
      <c r="B60" s="185" t="s">
        <v>169</v>
      </c>
      <c r="C60" s="185"/>
      <c r="D60" s="192">
        <f>+E24</f>
        <v>29122500</v>
      </c>
      <c r="E60" s="192"/>
    </row>
    <row r="61" spans="2:6" x14ac:dyDescent="0.25">
      <c r="B61" s="185"/>
      <c r="C61" s="185" t="s">
        <v>46</v>
      </c>
      <c r="D61" s="192"/>
      <c r="E61" s="192">
        <f>+D20</f>
        <v>60077863.63636364</v>
      </c>
    </row>
    <row r="62" spans="2:6" ht="15.75" thickBot="1" x14ac:dyDescent="0.3">
      <c r="B62" s="185"/>
      <c r="C62" s="185"/>
      <c r="D62" s="189">
        <f>SUM(D57:D60)</f>
        <v>60077863.63636364</v>
      </c>
      <c r="E62" s="189">
        <f>SUM(E61)</f>
        <v>60077863.63636364</v>
      </c>
    </row>
    <row r="63" spans="2:6" ht="32.450000000000003" customHeight="1" thickTop="1" x14ac:dyDescent="0.25">
      <c r="B63" s="501" t="s">
        <v>258</v>
      </c>
      <c r="C63" s="501"/>
      <c r="D63" s="501"/>
      <c r="E63" s="501"/>
    </row>
    <row r="64" spans="2:6" x14ac:dyDescent="0.25">
      <c r="D64" s="9"/>
      <c r="E64" s="9"/>
    </row>
    <row r="65" spans="1:19" ht="15.75" thickBot="1" x14ac:dyDescent="0.3">
      <c r="D65" s="210"/>
    </row>
    <row r="66" spans="1:19" ht="15.75" thickTop="1" x14ac:dyDescent="0.25">
      <c r="B66" s="390" t="s">
        <v>170</v>
      </c>
      <c r="C66" s="391"/>
      <c r="D66" s="392"/>
      <c r="E66" s="393"/>
      <c r="F66" s="9"/>
    </row>
    <row r="67" spans="1:19" x14ac:dyDescent="0.25">
      <c r="B67" s="394" t="s">
        <v>203</v>
      </c>
      <c r="C67" s="102"/>
      <c r="D67" s="389"/>
      <c r="E67" s="395"/>
      <c r="F67" s="9"/>
    </row>
    <row r="68" spans="1:19" ht="18.75" x14ac:dyDescent="0.3">
      <c r="A68" s="99"/>
      <c r="B68" s="396"/>
      <c r="C68" s="109" t="s">
        <v>96</v>
      </c>
      <c r="D68" s="109" t="s">
        <v>97</v>
      </c>
      <c r="E68" s="397" t="s">
        <v>98</v>
      </c>
      <c r="F68" s="9"/>
      <c r="J68" s="102"/>
      <c r="K68" s="102"/>
      <c r="L68" s="102"/>
      <c r="M68" s="105"/>
      <c r="N68" s="78"/>
      <c r="O68" s="102"/>
      <c r="P68" s="102"/>
      <c r="Q68" s="102"/>
      <c r="R68" s="102"/>
      <c r="S68" s="102"/>
    </row>
    <row r="69" spans="1:19" ht="18.75" x14ac:dyDescent="0.3">
      <c r="A69" s="157"/>
      <c r="B69" s="394" t="s">
        <v>285</v>
      </c>
      <c r="C69" s="109"/>
      <c r="D69" s="65">
        <f>+'Data for Settlement &amp; 1st TU'!I54</f>
        <v>5200000</v>
      </c>
      <c r="E69" s="397"/>
      <c r="F69" s="9"/>
      <c r="L69" s="102"/>
      <c r="M69" s="105"/>
      <c r="N69" s="78"/>
      <c r="O69" s="102"/>
      <c r="P69" s="102"/>
      <c r="Q69" s="102"/>
      <c r="R69" s="102"/>
      <c r="S69" s="102"/>
    </row>
    <row r="70" spans="1:19" ht="15" customHeight="1" x14ac:dyDescent="0.3">
      <c r="B70" s="394" t="s">
        <v>152</v>
      </c>
      <c r="C70" s="102"/>
      <c r="D70" s="65">
        <f>+'Data for Settlement &amp; 1st TU'!I55</f>
        <v>15520433.765469097</v>
      </c>
      <c r="E70" s="398"/>
      <c r="F70" s="9"/>
      <c r="J70" s="102"/>
      <c r="K70" s="102"/>
      <c r="L70" s="102"/>
      <c r="M70" s="105"/>
      <c r="N70" s="78"/>
      <c r="O70" s="102"/>
      <c r="P70" s="102"/>
      <c r="Q70" s="102"/>
      <c r="R70" s="102"/>
      <c r="S70" s="102"/>
    </row>
    <row r="71" spans="1:19" ht="15.75" customHeight="1" x14ac:dyDescent="0.3">
      <c r="B71" s="394" t="s">
        <v>154</v>
      </c>
      <c r="C71" s="102"/>
      <c r="D71" s="65">
        <f>+'Data for Settlement &amp; 1st TU'!I56</f>
        <v>1980000</v>
      </c>
      <c r="E71" s="398"/>
      <c r="F71" s="9"/>
      <c r="J71" s="102"/>
      <c r="K71" s="102"/>
      <c r="L71" s="102"/>
      <c r="M71" s="105"/>
      <c r="N71" s="78"/>
      <c r="O71" s="102"/>
      <c r="P71" s="102"/>
      <c r="Q71" s="102"/>
      <c r="R71" s="102"/>
      <c r="S71" s="102"/>
    </row>
    <row r="72" spans="1:19" x14ac:dyDescent="0.25">
      <c r="B72" s="394" t="s">
        <v>153</v>
      </c>
      <c r="C72" s="102"/>
      <c r="D72" s="65">
        <f>+'Data for Settlement &amp; 1st TU'!I57</f>
        <v>19890798.75</v>
      </c>
      <c r="E72" s="398"/>
      <c r="F72" s="9"/>
      <c r="J72" s="102"/>
      <c r="K72" s="102"/>
      <c r="L72" s="102"/>
      <c r="M72" s="106"/>
      <c r="N72" s="107"/>
      <c r="O72" s="102"/>
      <c r="P72" s="102"/>
      <c r="Q72" s="102"/>
      <c r="R72" s="102"/>
      <c r="S72" s="102"/>
    </row>
    <row r="73" spans="1:19" x14ac:dyDescent="0.25">
      <c r="B73" s="394" t="s">
        <v>155</v>
      </c>
      <c r="C73" s="102"/>
      <c r="D73" s="65">
        <f>+'Data for Settlement &amp; 1st TU'!I58</f>
        <v>24310976.25</v>
      </c>
      <c r="E73" s="398"/>
      <c r="J73" s="102"/>
      <c r="K73" s="102"/>
      <c r="L73" s="102"/>
      <c r="M73" s="108"/>
      <c r="N73" s="109"/>
      <c r="O73" s="110"/>
      <c r="P73" s="66"/>
      <c r="Q73" s="102"/>
      <c r="R73" s="102"/>
      <c r="S73" s="102"/>
    </row>
    <row r="74" spans="1:19" x14ac:dyDescent="0.25">
      <c r="B74" s="394"/>
      <c r="C74" s="102" t="s">
        <v>156</v>
      </c>
      <c r="D74" s="65"/>
      <c r="E74" s="398">
        <f>-'Data for Settlement &amp; 1st TU'!D59</f>
        <v>4271000.0000000019</v>
      </c>
      <c r="J74" s="102"/>
      <c r="K74" s="102"/>
      <c r="L74" s="102"/>
      <c r="M74" s="108"/>
      <c r="N74" s="109"/>
      <c r="O74" s="110"/>
      <c r="P74" s="66"/>
      <c r="Q74" s="102"/>
      <c r="R74" s="102"/>
      <c r="S74" s="102"/>
    </row>
    <row r="75" spans="1:19" s="99" customFormat="1" x14ac:dyDescent="0.25">
      <c r="A75" s="12"/>
      <c r="B75" s="394"/>
      <c r="C75" s="102" t="s">
        <v>356</v>
      </c>
      <c r="D75" s="109"/>
      <c r="E75" s="398">
        <f>-'Data for Settlement &amp; 1st TU'!I60</f>
        <v>4965699.2353440998</v>
      </c>
    </row>
    <row r="76" spans="1:19" x14ac:dyDescent="0.25">
      <c r="B76" s="394"/>
      <c r="C76" s="102" t="s">
        <v>1</v>
      </c>
      <c r="D76" s="65"/>
      <c r="E76" s="398">
        <f>SUM(D69:D73)-E74-E75</f>
        <v>57665509.530125</v>
      </c>
      <c r="J76" s="102"/>
      <c r="K76" s="102"/>
      <c r="L76" s="102"/>
      <c r="M76" s="102"/>
      <c r="N76" s="107"/>
      <c r="O76" s="103"/>
      <c r="P76" s="65"/>
      <c r="Q76" s="102"/>
      <c r="R76" s="102"/>
      <c r="S76" s="102"/>
    </row>
    <row r="77" spans="1:19" ht="15.75" thickBot="1" x14ac:dyDescent="0.3">
      <c r="B77" s="394"/>
      <c r="C77" s="102"/>
      <c r="D77" s="61">
        <f>SUM(D69:D76)</f>
        <v>66902208.765469097</v>
      </c>
      <c r="E77" s="399">
        <f>SUM(E69:E76)</f>
        <v>66902208.765469104</v>
      </c>
      <c r="J77" s="102"/>
      <c r="K77" s="102"/>
      <c r="L77" s="102"/>
      <c r="M77" s="102"/>
      <c r="N77" s="107"/>
      <c r="O77" s="103"/>
      <c r="P77" s="65"/>
      <c r="Q77" s="102"/>
      <c r="R77" s="102"/>
      <c r="S77" s="102"/>
    </row>
    <row r="78" spans="1:19" ht="78.599999999999994" customHeight="1" thickTop="1" thickBot="1" x14ac:dyDescent="0.3">
      <c r="B78" s="495" t="s">
        <v>357</v>
      </c>
      <c r="C78" s="496"/>
      <c r="D78" s="496"/>
      <c r="E78" s="497"/>
      <c r="J78" s="102"/>
      <c r="K78" s="102"/>
      <c r="L78" s="102"/>
      <c r="M78" s="102"/>
      <c r="N78" s="107"/>
      <c r="O78" s="103"/>
      <c r="P78" s="65"/>
      <c r="Q78" s="102"/>
      <c r="R78" s="102"/>
      <c r="S78" s="102"/>
    </row>
    <row r="79" spans="1:19" ht="15.75" thickTop="1" x14ac:dyDescent="0.25">
      <c r="B79" s="196"/>
      <c r="C79" s="196"/>
      <c r="D79" s="196"/>
      <c r="E79" s="196"/>
      <c r="J79" s="102"/>
      <c r="K79" s="102"/>
      <c r="L79" s="102"/>
      <c r="M79" s="102"/>
      <c r="N79" s="107"/>
      <c r="O79" s="103"/>
      <c r="P79" s="65"/>
      <c r="Q79" s="102"/>
      <c r="R79" s="102"/>
      <c r="S79" s="102"/>
    </row>
    <row r="80" spans="1:19" ht="15.75" thickBot="1" x14ac:dyDescent="0.3">
      <c r="J80" s="102"/>
      <c r="K80" s="102"/>
      <c r="L80" s="102"/>
      <c r="M80" s="102"/>
      <c r="N80" s="78"/>
      <c r="O80" s="103"/>
      <c r="P80" s="65"/>
      <c r="Q80" s="102"/>
      <c r="R80" s="102"/>
      <c r="S80" s="102"/>
    </row>
    <row r="81" spans="1:19" ht="20.25" customHeight="1" thickTop="1" x14ac:dyDescent="0.25">
      <c r="A81" s="9"/>
      <c r="B81" s="390" t="s">
        <v>166</v>
      </c>
      <c r="C81" s="391"/>
      <c r="D81" s="391"/>
      <c r="E81" s="400"/>
      <c r="J81" s="102"/>
      <c r="K81" s="102"/>
      <c r="L81" s="102"/>
      <c r="M81" s="102"/>
      <c r="N81" s="78"/>
      <c r="O81" s="103"/>
      <c r="P81" s="65"/>
      <c r="Q81" s="102"/>
      <c r="R81" s="102"/>
      <c r="S81" s="102"/>
    </row>
    <row r="82" spans="1:19" ht="19.5" customHeight="1" x14ac:dyDescent="0.25">
      <c r="A82" s="9"/>
      <c r="B82" s="394" t="s">
        <v>305</v>
      </c>
      <c r="C82" s="102"/>
      <c r="D82" s="389"/>
      <c r="E82" s="395"/>
      <c r="G82" s="151"/>
      <c r="J82" s="102"/>
      <c r="K82" s="102"/>
      <c r="L82" s="102"/>
      <c r="M82" s="102"/>
      <c r="N82" s="78"/>
      <c r="O82" s="103"/>
      <c r="P82" s="65"/>
      <c r="Q82" s="102"/>
      <c r="R82" s="102"/>
      <c r="S82" s="102"/>
    </row>
    <row r="83" spans="1:19" ht="15.75" customHeight="1" x14ac:dyDescent="0.25">
      <c r="A83" s="99"/>
      <c r="B83" s="396"/>
      <c r="C83" s="109" t="s">
        <v>96</v>
      </c>
      <c r="D83" s="109" t="s">
        <v>97</v>
      </c>
      <c r="E83" s="397" t="s">
        <v>98</v>
      </c>
      <c r="J83" s="102"/>
      <c r="K83" s="102"/>
      <c r="L83" s="102"/>
      <c r="M83" s="102"/>
      <c r="N83" s="78"/>
      <c r="O83" s="103"/>
      <c r="P83" s="65"/>
      <c r="Q83" s="102"/>
      <c r="R83" s="102"/>
      <c r="S83" s="102"/>
    </row>
    <row r="84" spans="1:19" s="157" customFormat="1" x14ac:dyDescent="0.25">
      <c r="A84" s="9"/>
      <c r="B84" s="502" t="s">
        <v>8</v>
      </c>
      <c r="C84" s="503"/>
      <c r="D84" s="401">
        <f>+E85</f>
        <v>2255101.3937613568</v>
      </c>
      <c r="E84" s="402"/>
    </row>
    <row r="85" spans="1:19" x14ac:dyDescent="0.25">
      <c r="A85" s="9"/>
      <c r="B85" s="394"/>
      <c r="C85" s="102" t="s">
        <v>9</v>
      </c>
      <c r="D85" s="102"/>
      <c r="E85" s="403">
        <f>-'RPP Settlement &amp; 1st TU'!K34</f>
        <v>2255101.3937613568</v>
      </c>
      <c r="F85" s="9"/>
    </row>
    <row r="86" spans="1:19" ht="15.75" thickBot="1" x14ac:dyDescent="0.3">
      <c r="A86" s="9"/>
      <c r="B86" s="394"/>
      <c r="C86" s="102"/>
      <c r="D86" s="61">
        <f>SUM(D84:D85)</f>
        <v>2255101.3937613568</v>
      </c>
      <c r="E86" s="399">
        <f>SUM(E84:E85)</f>
        <v>2255101.3937613568</v>
      </c>
      <c r="F86" s="9"/>
    </row>
    <row r="87" spans="1:19" ht="35.450000000000003" customHeight="1" thickTop="1" thickBot="1" x14ac:dyDescent="0.3">
      <c r="A87" s="9"/>
      <c r="B87" s="495" t="s">
        <v>263</v>
      </c>
      <c r="C87" s="496"/>
      <c r="D87" s="496"/>
      <c r="E87" s="497"/>
      <c r="F87" s="9"/>
    </row>
    <row r="88" spans="1:19" ht="15.75" thickTop="1" x14ac:dyDescent="0.25">
      <c r="A88" s="9"/>
      <c r="B88" s="196"/>
      <c r="C88" s="196"/>
      <c r="D88" s="196"/>
      <c r="E88" s="196"/>
      <c r="F88" s="9"/>
    </row>
    <row r="89" spans="1:19" x14ac:dyDescent="0.25">
      <c r="A89" s="9"/>
      <c r="B89" s="156"/>
      <c r="C89" s="156"/>
      <c r="D89" s="156"/>
      <c r="E89" s="156"/>
    </row>
    <row r="90" spans="1:19" x14ac:dyDescent="0.25">
      <c r="B90" s="190" t="s">
        <v>166</v>
      </c>
      <c r="C90" s="185"/>
      <c r="D90" s="191"/>
      <c r="E90" s="191"/>
    </row>
    <row r="91" spans="1:19" x14ac:dyDescent="0.25">
      <c r="A91" s="104"/>
      <c r="B91" s="185" t="s">
        <v>248</v>
      </c>
      <c r="C91" s="185"/>
      <c r="D91" s="186"/>
      <c r="E91" s="186"/>
    </row>
    <row r="92" spans="1:19" x14ac:dyDescent="0.25">
      <c r="A92" s="157"/>
      <c r="B92" s="187"/>
      <c r="C92" s="187" t="s">
        <v>96</v>
      </c>
      <c r="D92" s="187" t="s">
        <v>97</v>
      </c>
      <c r="E92" s="187" t="s">
        <v>98</v>
      </c>
    </row>
    <row r="93" spans="1:19" x14ac:dyDescent="0.25">
      <c r="A93" s="13"/>
      <c r="B93" s="185" t="s">
        <v>7</v>
      </c>
      <c r="C93" s="185"/>
      <c r="D93" s="192">
        <f>SUM(E94:E97)</f>
        <v>31093931.81818182</v>
      </c>
      <c r="E93" s="192"/>
    </row>
    <row r="94" spans="1:19" x14ac:dyDescent="0.25">
      <c r="A94" s="13"/>
      <c r="B94" s="185"/>
      <c r="C94" s="185" t="s">
        <v>157</v>
      </c>
      <c r="D94" s="192"/>
      <c r="E94" s="192">
        <f>'Data for Settlement &amp; 1st TU'!O72</f>
        <v>10262000</v>
      </c>
    </row>
    <row r="95" spans="1:19" x14ac:dyDescent="0.25">
      <c r="A95" s="13"/>
      <c r="B95" s="185"/>
      <c r="C95" s="185" t="s">
        <v>44</v>
      </c>
      <c r="D95" s="192"/>
      <c r="E95" s="192">
        <f>'Data for Settlement &amp; 1st TU'!O76</f>
        <v>4290681.8181818184</v>
      </c>
    </row>
    <row r="96" spans="1:19" x14ac:dyDescent="0.25">
      <c r="A96" s="13"/>
      <c r="B96" s="185"/>
      <c r="C96" s="185" t="s">
        <v>158</v>
      </c>
      <c r="D96" s="192"/>
      <c r="E96" s="192">
        <f>'Data for Settlement &amp; 1st TU'!O77</f>
        <v>1980000</v>
      </c>
    </row>
    <row r="97" spans="1:19" x14ac:dyDescent="0.25">
      <c r="A97" s="13"/>
      <c r="B97" s="185"/>
      <c r="C97" s="185" t="s">
        <v>159</v>
      </c>
      <c r="D97" s="192"/>
      <c r="E97" s="192">
        <f>'Data for Settlement &amp; 1st TU'!O78</f>
        <v>14561250</v>
      </c>
    </row>
    <row r="98" spans="1:19" ht="15.75" thickBot="1" x14ac:dyDescent="0.3">
      <c r="B98" s="185"/>
      <c r="C98" s="185"/>
      <c r="D98" s="189">
        <f>SUM(D93:D97)</f>
        <v>31093931.81818182</v>
      </c>
      <c r="E98" s="189">
        <f>SUM(E93:E97)</f>
        <v>31093931.81818182</v>
      </c>
    </row>
    <row r="99" spans="1:19" ht="78" customHeight="1" thickTop="1" x14ac:dyDescent="0.25">
      <c r="B99" s="501" t="s">
        <v>259</v>
      </c>
      <c r="C99" s="501"/>
      <c r="D99" s="501"/>
      <c r="E99" s="501"/>
    </row>
    <row r="100" spans="1:19" s="198" customFormat="1" x14ac:dyDescent="0.25">
      <c r="B100" s="199"/>
      <c r="C100" s="199"/>
      <c r="D100" s="199"/>
      <c r="E100" s="199"/>
      <c r="F100" s="69"/>
    </row>
    <row r="101" spans="1:19" x14ac:dyDescent="0.25">
      <c r="C101" s="164"/>
      <c r="D101" s="164"/>
      <c r="E101" s="164"/>
      <c r="F101" s="9"/>
    </row>
    <row r="102" spans="1:19" x14ac:dyDescent="0.25">
      <c r="B102" s="190" t="s">
        <v>166</v>
      </c>
      <c r="C102" s="185"/>
      <c r="D102" s="191"/>
      <c r="E102" s="191"/>
      <c r="F102" s="9"/>
    </row>
    <row r="103" spans="1:19" x14ac:dyDescent="0.25">
      <c r="B103" s="185" t="s">
        <v>249</v>
      </c>
      <c r="C103" s="185"/>
      <c r="D103" s="186"/>
      <c r="E103" s="186"/>
      <c r="F103" s="9"/>
    </row>
    <row r="104" spans="1:19" x14ac:dyDescent="0.25">
      <c r="B104" s="187"/>
      <c r="C104" s="187" t="s">
        <v>96</v>
      </c>
      <c r="D104" s="187" t="s">
        <v>97</v>
      </c>
      <c r="E104" s="187" t="s">
        <v>98</v>
      </c>
      <c r="F104" s="9"/>
    </row>
    <row r="105" spans="1:19" x14ac:dyDescent="0.25">
      <c r="A105" s="13"/>
      <c r="B105" s="185" t="s">
        <v>7</v>
      </c>
      <c r="C105" s="185"/>
      <c r="D105" s="192">
        <f>SUM(E106:E108)</f>
        <v>29113931.81818182</v>
      </c>
      <c r="E105" s="192"/>
      <c r="F105" s="9"/>
    </row>
    <row r="106" spans="1:19" x14ac:dyDescent="0.25">
      <c r="B106" s="185"/>
      <c r="C106" s="185" t="s">
        <v>283</v>
      </c>
      <c r="D106" s="192"/>
      <c r="E106" s="192">
        <f>'Data for Settlement &amp; 1st TU'!P72</f>
        <v>10262000</v>
      </c>
      <c r="F106" s="9"/>
      <c r="I106" s="491"/>
      <c r="J106" s="491"/>
      <c r="K106" s="491"/>
      <c r="L106" s="491"/>
    </row>
    <row r="107" spans="1:19" x14ac:dyDescent="0.25">
      <c r="B107" s="185"/>
      <c r="C107" s="185" t="s">
        <v>216</v>
      </c>
      <c r="D107" s="192"/>
      <c r="E107" s="192">
        <f>'Data for Settlement &amp; 1st TU'!P76</f>
        <v>4290681.8181818184</v>
      </c>
      <c r="F107" s="9"/>
    </row>
    <row r="108" spans="1:19" x14ac:dyDescent="0.25">
      <c r="B108" s="185"/>
      <c r="C108" s="185" t="s">
        <v>217</v>
      </c>
      <c r="D108" s="192"/>
      <c r="E108" s="192">
        <f>'Data for Settlement &amp; 1st TU'!P78</f>
        <v>14561250</v>
      </c>
      <c r="F108" s="9"/>
    </row>
    <row r="109" spans="1:19" ht="15.75" thickBot="1" x14ac:dyDescent="0.3">
      <c r="B109" s="185"/>
      <c r="C109" s="185"/>
      <c r="D109" s="189">
        <f>SUM(D105:D108)</f>
        <v>29113931.81818182</v>
      </c>
      <c r="E109" s="189">
        <f>SUM(E105:E108)</f>
        <v>29113931.81818182</v>
      </c>
    </row>
    <row r="110" spans="1:19" ht="106.5" customHeight="1" thickTop="1" x14ac:dyDescent="0.25">
      <c r="B110" s="501" t="s">
        <v>368</v>
      </c>
      <c r="C110" s="501"/>
      <c r="D110" s="501"/>
      <c r="E110" s="501"/>
      <c r="F110" s="9"/>
    </row>
    <row r="111" spans="1:19" x14ac:dyDescent="0.25">
      <c r="B111" s="165"/>
      <c r="C111" s="165"/>
      <c r="D111" s="165"/>
      <c r="E111" s="165"/>
      <c r="F111" s="9"/>
      <c r="J111" s="102"/>
      <c r="K111" s="102"/>
      <c r="L111" s="102"/>
      <c r="M111" s="102"/>
      <c r="N111" s="78"/>
      <c r="O111" s="103"/>
      <c r="P111" s="65"/>
      <c r="Q111" s="102"/>
      <c r="R111" s="102"/>
      <c r="S111" s="102"/>
    </row>
    <row r="112" spans="1:19" ht="15.75" thickBot="1" x14ac:dyDescent="0.3">
      <c r="B112" s="165"/>
      <c r="C112" s="165"/>
      <c r="D112" s="165"/>
      <c r="E112" s="165"/>
      <c r="F112" s="9"/>
      <c r="J112" s="102"/>
      <c r="K112" s="102"/>
      <c r="L112" s="102"/>
      <c r="M112" s="102"/>
      <c r="N112" s="78"/>
      <c r="O112" s="103"/>
      <c r="P112" s="65"/>
      <c r="Q112" s="102"/>
      <c r="R112" s="102"/>
      <c r="S112" s="102"/>
    </row>
    <row r="113" spans="1:19" ht="15.75" thickTop="1" x14ac:dyDescent="0.25">
      <c r="A113" s="9"/>
      <c r="B113" s="390" t="s">
        <v>166</v>
      </c>
      <c r="C113" s="423"/>
      <c r="D113" s="423"/>
      <c r="E113" s="424"/>
      <c r="F113" s="9"/>
    </row>
    <row r="114" spans="1:19" ht="18" customHeight="1" x14ac:dyDescent="0.25">
      <c r="A114" s="9"/>
      <c r="B114" s="394" t="s">
        <v>250</v>
      </c>
      <c r="C114" s="420"/>
      <c r="D114" s="420"/>
      <c r="E114" s="425"/>
      <c r="J114" s="102"/>
      <c r="K114" s="102"/>
      <c r="L114" s="102"/>
      <c r="M114" s="102"/>
      <c r="N114" s="78"/>
      <c r="O114" s="103"/>
      <c r="P114" s="65"/>
      <c r="Q114" s="102"/>
      <c r="R114" s="102"/>
      <c r="S114" s="102"/>
    </row>
    <row r="115" spans="1:19" x14ac:dyDescent="0.25">
      <c r="A115" s="157"/>
      <c r="B115" s="396"/>
      <c r="C115" s="109" t="s">
        <v>96</v>
      </c>
      <c r="D115" s="109" t="s">
        <v>97</v>
      </c>
      <c r="E115" s="397" t="s">
        <v>98</v>
      </c>
      <c r="J115" s="102"/>
      <c r="K115" s="102"/>
      <c r="L115" s="102"/>
      <c r="M115" s="111"/>
      <c r="N115" s="78"/>
      <c r="O115" s="103"/>
      <c r="P115" s="65"/>
      <c r="Q115" s="102"/>
      <c r="R115" s="102"/>
      <c r="S115" s="102"/>
    </row>
    <row r="116" spans="1:19" x14ac:dyDescent="0.25">
      <c r="A116" s="13"/>
      <c r="B116" s="394" t="s">
        <v>206</v>
      </c>
      <c r="C116" s="102"/>
      <c r="D116" s="65">
        <f>'T-Accounts'!D64</f>
        <v>14068.250000044703</v>
      </c>
      <c r="E116" s="398"/>
      <c r="F116" s="195"/>
    </row>
    <row r="117" spans="1:19" x14ac:dyDescent="0.25">
      <c r="A117" s="13"/>
      <c r="B117" s="394" t="s">
        <v>205</v>
      </c>
      <c r="C117" s="102"/>
      <c r="D117" s="65">
        <f>'T-Accounts'!M64</f>
        <v>2668476.25</v>
      </c>
      <c r="E117" s="398"/>
      <c r="F117" s="195"/>
    </row>
    <row r="118" spans="1:19" s="99" customFormat="1" x14ac:dyDescent="0.25">
      <c r="A118" s="13"/>
      <c r="B118" s="394"/>
      <c r="C118" s="102" t="s">
        <v>9</v>
      </c>
      <c r="D118" s="65"/>
      <c r="E118" s="398">
        <f>D116</f>
        <v>14068.250000044703</v>
      </c>
      <c r="F118" s="12"/>
    </row>
    <row r="119" spans="1:19" x14ac:dyDescent="0.25">
      <c r="B119" s="394"/>
      <c r="C119" s="102" t="s">
        <v>229</v>
      </c>
      <c r="D119" s="102"/>
      <c r="E119" s="417">
        <f>+D117</f>
        <v>2668476.25</v>
      </c>
      <c r="F119" s="195"/>
    </row>
    <row r="120" spans="1:19" ht="15.75" thickBot="1" x14ac:dyDescent="0.3">
      <c r="A120" s="9"/>
      <c r="B120" s="394"/>
      <c r="C120" s="102"/>
      <c r="D120" s="61">
        <f>SUM(D116:D119)</f>
        <v>2682544.5000000447</v>
      </c>
      <c r="E120" s="399">
        <f>SUM(E118:E119)</f>
        <v>2682544.5000000447</v>
      </c>
    </row>
    <row r="121" spans="1:19" ht="16.5" thickTop="1" thickBot="1" x14ac:dyDescent="0.3">
      <c r="A121" s="9"/>
      <c r="B121" s="426" t="s">
        <v>207</v>
      </c>
      <c r="C121" s="427"/>
      <c r="D121" s="428"/>
      <c r="E121" s="429"/>
    </row>
    <row r="122" spans="1:19" ht="15.75" thickTop="1" x14ac:dyDescent="0.25">
      <c r="A122" s="9"/>
      <c r="B122" s="156"/>
      <c r="C122" s="156"/>
      <c r="D122" s="156"/>
      <c r="E122" s="156"/>
    </row>
    <row r="123" spans="1:19" x14ac:dyDescent="0.25">
      <c r="A123" s="9"/>
      <c r="B123" s="156"/>
      <c r="C123" s="156"/>
      <c r="D123" s="156"/>
      <c r="E123" s="156"/>
    </row>
    <row r="124" spans="1:19" x14ac:dyDescent="0.25">
      <c r="B124" s="190" t="s">
        <v>212</v>
      </c>
      <c r="C124" s="185"/>
      <c r="D124" s="191"/>
      <c r="E124" s="191"/>
    </row>
    <row r="125" spans="1:19" x14ac:dyDescent="0.25">
      <c r="A125" s="104"/>
      <c r="B125" s="185" t="s">
        <v>251</v>
      </c>
      <c r="C125" s="185"/>
      <c r="D125" s="186"/>
      <c r="E125" s="186"/>
    </row>
    <row r="126" spans="1:19" x14ac:dyDescent="0.25">
      <c r="A126" s="157"/>
      <c r="B126" s="187"/>
      <c r="C126" s="187" t="s">
        <v>96</v>
      </c>
      <c r="D126" s="187" t="s">
        <v>97</v>
      </c>
      <c r="E126" s="187" t="s">
        <v>98</v>
      </c>
    </row>
    <row r="127" spans="1:19" x14ac:dyDescent="0.25">
      <c r="A127" s="13"/>
      <c r="B127" s="185" t="s">
        <v>167</v>
      </c>
      <c r="C127" s="185"/>
      <c r="D127" s="192">
        <f>'Data for Settlement &amp; 1st TU'!P72</f>
        <v>10262000</v>
      </c>
      <c r="E127" s="192"/>
    </row>
    <row r="128" spans="1:19" x14ac:dyDescent="0.25">
      <c r="A128" s="13"/>
      <c r="B128" s="185" t="s">
        <v>47</v>
      </c>
      <c r="C128" s="185"/>
      <c r="D128" s="192">
        <f>'Data for Settlement &amp; 1st TU'!P76</f>
        <v>4290681.8181818184</v>
      </c>
      <c r="E128" s="192"/>
    </row>
    <row r="129" spans="1:7" x14ac:dyDescent="0.25">
      <c r="B129" s="185" t="s">
        <v>169</v>
      </c>
      <c r="C129" s="185"/>
      <c r="D129" s="192">
        <f>'Data for Settlement &amp; 1st TU'!P78</f>
        <v>14561250</v>
      </c>
      <c r="E129" s="192"/>
    </row>
    <row r="130" spans="1:7" x14ac:dyDescent="0.25">
      <c r="B130" s="185"/>
      <c r="C130" s="185" t="s">
        <v>46</v>
      </c>
      <c r="D130" s="192"/>
      <c r="E130" s="192">
        <f>'Data for Settlement &amp; 1st TU'!P81</f>
        <v>29113931.81818182</v>
      </c>
    </row>
    <row r="131" spans="1:7" ht="15.75" thickBot="1" x14ac:dyDescent="0.3">
      <c r="B131" s="185"/>
      <c r="C131" s="185"/>
      <c r="D131" s="189">
        <f>SUM(D127:D129)</f>
        <v>29113931.81818182</v>
      </c>
      <c r="E131" s="189">
        <f>SUM(E127:E130)</f>
        <v>29113931.81818182</v>
      </c>
    </row>
    <row r="132" spans="1:7" ht="16.899999999999999" customHeight="1" thickTop="1" x14ac:dyDescent="0.25">
      <c r="B132" s="501" t="s">
        <v>370</v>
      </c>
      <c r="C132" s="501"/>
      <c r="D132" s="501"/>
      <c r="E132" s="501"/>
    </row>
    <row r="133" spans="1:7" x14ac:dyDescent="0.25">
      <c r="C133" s="197"/>
      <c r="D133" s="197"/>
      <c r="E133" s="197"/>
      <c r="F133" s="9"/>
    </row>
    <row r="134" spans="1:7" x14ac:dyDescent="0.25">
      <c r="C134" s="155"/>
      <c r="D134" s="155"/>
      <c r="E134" s="155"/>
      <c r="F134" s="9"/>
    </row>
    <row r="135" spans="1:7" x14ac:dyDescent="0.25">
      <c r="A135" s="9"/>
      <c r="B135" s="190" t="s">
        <v>222</v>
      </c>
      <c r="C135" s="185"/>
      <c r="D135" s="185"/>
      <c r="E135" s="185"/>
    </row>
    <row r="136" spans="1:7" x14ac:dyDescent="0.25">
      <c r="A136" s="9"/>
      <c r="B136" s="185" t="s">
        <v>252</v>
      </c>
      <c r="C136" s="185"/>
      <c r="D136" s="185"/>
      <c r="E136" s="185"/>
    </row>
    <row r="137" spans="1:7" x14ac:dyDescent="0.25">
      <c r="A137" s="99"/>
      <c r="B137" s="187"/>
      <c r="C137" s="187" t="s">
        <v>96</v>
      </c>
      <c r="D137" s="187" t="s">
        <v>97</v>
      </c>
      <c r="E137" s="187" t="s">
        <v>98</v>
      </c>
    </row>
    <row r="138" spans="1:7" x14ac:dyDescent="0.25">
      <c r="A138" s="9"/>
      <c r="B138" s="185" t="s">
        <v>7</v>
      </c>
      <c r="C138" s="185"/>
      <c r="D138" s="188">
        <f>'Data for 2nd TU'!L72+'Data for 2nd TU'!L79</f>
        <v>29996600.651367456</v>
      </c>
      <c r="E138" s="185"/>
    </row>
    <row r="139" spans="1:7" x14ac:dyDescent="0.25">
      <c r="A139" s="9"/>
      <c r="B139" s="185"/>
      <c r="C139" s="185" t="s">
        <v>157</v>
      </c>
      <c r="D139" s="185"/>
      <c r="E139" s="188">
        <f>'Data for 2nd TU'!L72</f>
        <v>9495443.8976377957</v>
      </c>
      <c r="G139" s="123"/>
    </row>
    <row r="140" spans="1:7" x14ac:dyDescent="0.25">
      <c r="A140" s="9"/>
      <c r="B140" s="185"/>
      <c r="C140" s="185" t="s">
        <v>44</v>
      </c>
      <c r="D140" s="185"/>
      <c r="E140" s="188">
        <f>'Data for 2nd TU'!L76</f>
        <v>4653221.7537296601</v>
      </c>
      <c r="G140" s="123"/>
    </row>
    <row r="141" spans="1:7" ht="14.45" customHeight="1" x14ac:dyDescent="0.25">
      <c r="A141" s="9"/>
      <c r="B141" s="185"/>
      <c r="C141" s="185" t="s">
        <v>159</v>
      </c>
      <c r="D141" s="185"/>
      <c r="E141" s="188">
        <f>'Data for 2nd TU'!L78</f>
        <v>15847935</v>
      </c>
      <c r="G141" s="123"/>
    </row>
    <row r="142" spans="1:7" ht="15.75" thickBot="1" x14ac:dyDescent="0.3">
      <c r="A142" s="9"/>
      <c r="B142" s="185"/>
      <c r="C142" s="185"/>
      <c r="D142" s="189">
        <f>SUM(D138:D141)</f>
        <v>29996600.651367456</v>
      </c>
      <c r="E142" s="189">
        <f>SUM(E138:E141)</f>
        <v>29996600.651367456</v>
      </c>
    </row>
    <row r="143" spans="1:7" ht="80.45" customHeight="1" thickTop="1" x14ac:dyDescent="0.25">
      <c r="A143" s="9"/>
      <c r="B143" s="501" t="s">
        <v>260</v>
      </c>
      <c r="C143" s="501"/>
      <c r="D143" s="501"/>
      <c r="E143" s="501"/>
    </row>
    <row r="144" spans="1:7" x14ac:dyDescent="0.25">
      <c r="A144" s="9"/>
    </row>
    <row r="145" spans="1:5" ht="15.75" thickBot="1" x14ac:dyDescent="0.3">
      <c r="A145" s="9"/>
    </row>
    <row r="146" spans="1:5" ht="18" customHeight="1" thickTop="1" x14ac:dyDescent="0.25">
      <c r="A146" s="9"/>
      <c r="B146" s="404" t="s">
        <v>223</v>
      </c>
      <c r="C146" s="391"/>
      <c r="D146" s="391"/>
      <c r="E146" s="400"/>
    </row>
    <row r="147" spans="1:5" ht="15.75" customHeight="1" x14ac:dyDescent="0.25">
      <c r="A147" s="9"/>
      <c r="B147" s="405" t="s">
        <v>253</v>
      </c>
      <c r="C147" s="406"/>
      <c r="D147" s="407"/>
      <c r="E147" s="408"/>
    </row>
    <row r="148" spans="1:5" ht="18.75" customHeight="1" x14ac:dyDescent="0.25">
      <c r="A148" s="9"/>
      <c r="B148" s="409"/>
      <c r="C148" s="410" t="s">
        <v>96</v>
      </c>
      <c r="D148" s="410" t="s">
        <v>97</v>
      </c>
      <c r="E148" s="411" t="s">
        <v>98</v>
      </c>
    </row>
    <row r="149" spans="1:5" ht="16.5" customHeight="1" x14ac:dyDescent="0.25">
      <c r="A149" s="9"/>
      <c r="B149" s="405" t="s">
        <v>0</v>
      </c>
      <c r="C149" s="406"/>
      <c r="D149" s="412">
        <f>E150</f>
        <v>537393.30735398317</v>
      </c>
      <c r="E149" s="413"/>
    </row>
    <row r="150" spans="1:5" ht="18" customHeight="1" x14ac:dyDescent="0.25">
      <c r="A150" s="9"/>
      <c r="B150" s="414"/>
      <c r="C150" s="415" t="s">
        <v>43</v>
      </c>
      <c r="D150" s="412"/>
      <c r="E150" s="413">
        <f>+'RPP 2nd TU'!K34</f>
        <v>537393.30735398317</v>
      </c>
    </row>
    <row r="151" spans="1:5" ht="18.75" customHeight="1" thickBot="1" x14ac:dyDescent="0.3">
      <c r="A151" s="9"/>
      <c r="B151" s="405"/>
      <c r="C151" s="406"/>
      <c r="D151" s="193">
        <f>SUM(D149:D149)</f>
        <v>537393.30735398317</v>
      </c>
      <c r="E151" s="416">
        <f>SUM(E150)</f>
        <v>537393.30735398317</v>
      </c>
    </row>
    <row r="152" spans="1:5" ht="81" customHeight="1" thickTop="1" thickBot="1" x14ac:dyDescent="0.3">
      <c r="A152" s="9"/>
      <c r="B152" s="498" t="s">
        <v>371</v>
      </c>
      <c r="C152" s="499"/>
      <c r="D152" s="499"/>
      <c r="E152" s="500"/>
    </row>
    <row r="153" spans="1:5" ht="15.75" thickTop="1" x14ac:dyDescent="0.25">
      <c r="A153" s="9"/>
      <c r="B153" s="200"/>
      <c r="C153" s="200"/>
      <c r="D153" s="200"/>
      <c r="E153" s="200"/>
    </row>
    <row r="154" spans="1:5" ht="15.75" thickBot="1" x14ac:dyDescent="0.3">
      <c r="A154" s="9"/>
    </row>
    <row r="155" spans="1:5" ht="15.75" thickTop="1" x14ac:dyDescent="0.25">
      <c r="B155" s="404" t="s">
        <v>223</v>
      </c>
      <c r="C155" s="391"/>
      <c r="D155" s="391"/>
      <c r="E155" s="400"/>
    </row>
    <row r="156" spans="1:5" x14ac:dyDescent="0.25">
      <c r="B156" s="394" t="s">
        <v>254</v>
      </c>
      <c r="C156" s="102"/>
      <c r="D156" s="102"/>
      <c r="E156" s="402"/>
    </row>
    <row r="157" spans="1:5" x14ac:dyDescent="0.25">
      <c r="A157" s="99"/>
      <c r="B157" s="396"/>
      <c r="C157" s="109" t="s">
        <v>96</v>
      </c>
      <c r="D157" s="109" t="s">
        <v>97</v>
      </c>
      <c r="E157" s="397" t="s">
        <v>98</v>
      </c>
    </row>
    <row r="158" spans="1:5" x14ac:dyDescent="0.25">
      <c r="B158" s="394" t="s">
        <v>48</v>
      </c>
      <c r="C158" s="118"/>
      <c r="D158" s="118">
        <f>+'RPP vs non-RPP TU JE'!I7</f>
        <v>1010798.695137158</v>
      </c>
      <c r="E158" s="417"/>
    </row>
    <row r="159" spans="1:5" x14ac:dyDescent="0.25">
      <c r="B159" s="394"/>
      <c r="C159" s="102" t="s">
        <v>49</v>
      </c>
      <c r="D159" s="102"/>
      <c r="E159" s="417">
        <f>+D158</f>
        <v>1010798.695137158</v>
      </c>
    </row>
    <row r="160" spans="1:5" ht="15.75" thickBot="1" x14ac:dyDescent="0.3">
      <c r="B160" s="394"/>
      <c r="C160" s="102"/>
      <c r="D160" s="61">
        <f>SUM(D158:D159)</f>
        <v>1010798.695137158</v>
      </c>
      <c r="E160" s="399">
        <f>SUM(E158:E159)</f>
        <v>1010798.695137158</v>
      </c>
    </row>
    <row r="161" spans="2:6" ht="32.25" customHeight="1" thickTop="1" thickBot="1" x14ac:dyDescent="0.3">
      <c r="B161" s="495" t="s">
        <v>264</v>
      </c>
      <c r="C161" s="496"/>
      <c r="D161" s="496"/>
      <c r="E161" s="497"/>
    </row>
    <row r="162" spans="2:6" ht="15.75" thickTop="1" x14ac:dyDescent="0.25">
      <c r="B162" s="196"/>
      <c r="C162" s="196"/>
      <c r="D162" s="196"/>
      <c r="E162" s="196"/>
    </row>
    <row r="163" spans="2:6" ht="15.75" thickBot="1" x14ac:dyDescent="0.3"/>
    <row r="164" spans="2:6" ht="15.75" thickTop="1" x14ac:dyDescent="0.25">
      <c r="B164" s="404" t="s">
        <v>223</v>
      </c>
      <c r="C164" s="423"/>
      <c r="D164" s="423"/>
      <c r="E164" s="424"/>
    </row>
    <row r="165" spans="2:6" x14ac:dyDescent="0.25">
      <c r="B165" s="394" t="s">
        <v>255</v>
      </c>
      <c r="C165" s="420"/>
      <c r="D165" s="420"/>
      <c r="E165" s="425"/>
    </row>
    <row r="166" spans="2:6" x14ac:dyDescent="0.25">
      <c r="B166" s="396"/>
      <c r="C166" s="109" t="s">
        <v>96</v>
      </c>
      <c r="D166" s="109" t="s">
        <v>97</v>
      </c>
      <c r="E166" s="397" t="s">
        <v>98</v>
      </c>
    </row>
    <row r="167" spans="2:6" x14ac:dyDescent="0.25">
      <c r="B167" s="394" t="s">
        <v>0</v>
      </c>
      <c r="C167" s="102"/>
      <c r="D167" s="65">
        <f>'T-Accounts'!D32</f>
        <v>69389.220968812238</v>
      </c>
      <c r="E167" s="398"/>
      <c r="F167" s="195"/>
    </row>
    <row r="168" spans="2:6" x14ac:dyDescent="0.25">
      <c r="B168" s="394" t="s">
        <v>304</v>
      </c>
      <c r="C168" s="102"/>
      <c r="D168" s="65">
        <f>'T-Accounts'!M54</f>
        <v>275886.30486284196</v>
      </c>
      <c r="E168" s="398"/>
      <c r="F168" s="195"/>
    </row>
    <row r="169" spans="2:6" x14ac:dyDescent="0.25">
      <c r="B169" s="394"/>
      <c r="C169" s="102" t="s">
        <v>226</v>
      </c>
      <c r="D169" s="65"/>
      <c r="E169" s="398">
        <f>D167</f>
        <v>69389.220968812238</v>
      </c>
    </row>
    <row r="170" spans="2:6" x14ac:dyDescent="0.25">
      <c r="B170" s="394"/>
      <c r="C170" s="102" t="s">
        <v>227</v>
      </c>
      <c r="D170" s="102"/>
      <c r="E170" s="417">
        <f>D168</f>
        <v>275886.30486284196</v>
      </c>
    </row>
    <row r="171" spans="2:6" ht="15.75" thickBot="1" x14ac:dyDescent="0.3">
      <c r="B171" s="394"/>
      <c r="C171" s="102"/>
      <c r="D171" s="61">
        <f>SUM(D167:D170)</f>
        <v>345275.5258316542</v>
      </c>
      <c r="E171" s="399">
        <f>SUM(E167:E170)</f>
        <v>345275.5258316542</v>
      </c>
    </row>
    <row r="172" spans="2:6" ht="16.5" thickTop="1" thickBot="1" x14ac:dyDescent="0.3">
      <c r="B172" s="426" t="s">
        <v>262</v>
      </c>
      <c r="C172" s="427"/>
      <c r="D172" s="427"/>
      <c r="E172" s="430"/>
    </row>
    <row r="173" spans="2:6" ht="15.75" thickTop="1" x14ac:dyDescent="0.25"/>
  </sheetData>
  <mergeCells count="15">
    <mergeCell ref="B161:E161"/>
    <mergeCell ref="B143:E143"/>
    <mergeCell ref="B84:C84"/>
    <mergeCell ref="B26:E26"/>
    <mergeCell ref="B87:E87"/>
    <mergeCell ref="B63:E63"/>
    <mergeCell ref="B110:E110"/>
    <mergeCell ref="B99:E99"/>
    <mergeCell ref="I106:L106"/>
    <mergeCell ref="B14:E14"/>
    <mergeCell ref="B78:E78"/>
    <mergeCell ref="B50:E50"/>
    <mergeCell ref="B152:E152"/>
    <mergeCell ref="B132:E132"/>
    <mergeCell ref="B35:E36"/>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52" min="1" max="4" man="1"/>
    <brk id="87" min="1" max="4" man="1"/>
    <brk id="132"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80"/>
  <sheetViews>
    <sheetView topLeftCell="A52" zoomScaleNormal="100" workbookViewId="0">
      <selection activeCell="C77" sqref="C77"/>
    </sheetView>
  </sheetViews>
  <sheetFormatPr defaultRowHeight="15" x14ac:dyDescent="0.25"/>
  <cols>
    <col min="1" max="1" width="12.28515625" customWidth="1"/>
    <col min="2" max="2" width="9.140625" style="207"/>
    <col min="3" max="3" width="5" customWidth="1"/>
    <col min="4" max="4" width="17.140625" style="4" customWidth="1"/>
    <col min="5" max="5" width="3" customWidth="1"/>
    <col min="6" max="6" width="13.7109375" style="4" customWidth="1"/>
    <col min="7" max="7" width="13.42578125" customWidth="1"/>
    <col min="8" max="8" width="6" style="207" customWidth="1"/>
    <col min="9" max="9" width="6.5703125" customWidth="1"/>
    <col min="10" max="10" width="12.28515625" customWidth="1"/>
    <col min="11" max="11" width="9.140625" style="207"/>
    <col min="12" max="12" width="2.85546875" customWidth="1"/>
    <col min="13" max="13" width="14.5703125" style="4" customWidth="1"/>
    <col min="14" max="14" width="3" customWidth="1"/>
    <col min="15" max="15" width="14.7109375" style="4" customWidth="1"/>
    <col min="16" max="16" width="13.7109375" customWidth="1"/>
    <col min="17" max="17" width="9.5703125" style="207" customWidth="1"/>
    <col min="19" max="19" width="13.42578125" bestFit="1" customWidth="1"/>
  </cols>
  <sheetData>
    <row r="2" spans="1:17" x14ac:dyDescent="0.25">
      <c r="G2" s="5"/>
    </row>
    <row r="3" spans="1:17" s="11" customFormat="1" x14ac:dyDescent="0.25">
      <c r="B3" s="206"/>
      <c r="C3" s="442" t="s">
        <v>62</v>
      </c>
      <c r="D3" s="442"/>
      <c r="E3" s="442"/>
      <c r="F3" s="442"/>
      <c r="H3" s="206"/>
      <c r="K3" s="206"/>
      <c r="L3" s="442" t="s">
        <v>191</v>
      </c>
      <c r="M3" s="442"/>
      <c r="N3" s="442"/>
      <c r="O3" s="442"/>
      <c r="Q3" s="206"/>
    </row>
    <row r="4" spans="1:17" s="11" customFormat="1" ht="15.75" thickBot="1" x14ac:dyDescent="0.3">
      <c r="A4" s="11" t="s">
        <v>63</v>
      </c>
      <c r="B4" s="206" t="s">
        <v>189</v>
      </c>
      <c r="C4" s="508" t="s">
        <v>97</v>
      </c>
      <c r="D4" s="508"/>
      <c r="E4" s="508" t="s">
        <v>98</v>
      </c>
      <c r="F4" s="508"/>
      <c r="G4" s="159" t="s">
        <v>64</v>
      </c>
      <c r="H4" s="208" t="s">
        <v>196</v>
      </c>
      <c r="J4" s="11" t="s">
        <v>63</v>
      </c>
      <c r="K4" s="206" t="s">
        <v>189</v>
      </c>
      <c r="L4" s="508" t="s">
        <v>97</v>
      </c>
      <c r="M4" s="508"/>
      <c r="N4" s="508" t="s">
        <v>98</v>
      </c>
      <c r="O4" s="508"/>
      <c r="P4" s="159" t="s">
        <v>64</v>
      </c>
      <c r="Q4" s="208" t="s">
        <v>196</v>
      </c>
    </row>
    <row r="5" spans="1:17" ht="15.75" thickTop="1" x14ac:dyDescent="0.25">
      <c r="A5" t="s">
        <v>190</v>
      </c>
      <c r="B5" s="207">
        <v>1</v>
      </c>
      <c r="C5" s="158"/>
      <c r="D5" s="160">
        <f>JEs!D5</f>
        <v>5200000</v>
      </c>
      <c r="E5" s="158"/>
      <c r="F5" s="162"/>
      <c r="J5" t="s">
        <v>190</v>
      </c>
      <c r="K5" s="207">
        <v>1</v>
      </c>
      <c r="L5" s="158"/>
      <c r="M5" s="160">
        <f>JEs!D8</f>
        <v>1850000</v>
      </c>
      <c r="N5" s="158"/>
      <c r="O5" s="162"/>
    </row>
    <row r="6" spans="1:17" x14ac:dyDescent="0.25">
      <c r="A6" t="s">
        <v>190</v>
      </c>
      <c r="B6" s="207">
        <v>1</v>
      </c>
      <c r="C6" s="8"/>
      <c r="D6" s="161">
        <f>JEs!D6</f>
        <v>15434562.8717077</v>
      </c>
      <c r="E6" s="8"/>
      <c r="F6" s="28"/>
      <c r="J6" t="s">
        <v>190</v>
      </c>
      <c r="K6" s="207">
        <v>1</v>
      </c>
      <c r="M6" s="161">
        <f>JEs!D9</f>
        <v>21642500</v>
      </c>
    </row>
    <row r="7" spans="1:17" x14ac:dyDescent="0.25">
      <c r="A7" t="s">
        <v>190</v>
      </c>
      <c r="B7" s="207">
        <v>1</v>
      </c>
      <c r="D7" s="161">
        <f>JEs!D7</f>
        <v>17707500</v>
      </c>
      <c r="J7" t="s">
        <v>295</v>
      </c>
      <c r="M7" s="161">
        <f>SUM(M5:M6)</f>
        <v>23492500</v>
      </c>
      <c r="P7" s="5">
        <f>M7-O7</f>
        <v>23492500</v>
      </c>
      <c r="Q7" s="182"/>
    </row>
    <row r="8" spans="1:17" x14ac:dyDescent="0.25">
      <c r="A8" t="s">
        <v>190</v>
      </c>
      <c r="B8" s="207">
        <v>1</v>
      </c>
      <c r="D8" s="161"/>
      <c r="F8" s="4">
        <f>-JEs!E10</f>
        <v>-4271000.0000000019</v>
      </c>
      <c r="M8" s="161"/>
    </row>
    <row r="9" spans="1:17" x14ac:dyDescent="0.25">
      <c r="A9" s="169" t="s">
        <v>190</v>
      </c>
      <c r="B9" s="170">
        <v>1</v>
      </c>
      <c r="C9" s="169"/>
      <c r="D9" s="171"/>
      <c r="E9" s="169"/>
      <c r="F9" s="172">
        <f>-JEs!E11</f>
        <v>-4965699.2353440998</v>
      </c>
      <c r="J9" t="s">
        <v>200</v>
      </c>
      <c r="K9" s="207">
        <v>4</v>
      </c>
      <c r="M9" s="161"/>
      <c r="O9" s="4">
        <f>-JEs!E47</f>
        <v>-1850000</v>
      </c>
    </row>
    <row r="10" spans="1:17" x14ac:dyDescent="0.25">
      <c r="A10" t="s">
        <v>303</v>
      </c>
      <c r="D10" s="161">
        <f>SUM(D5:D9)</f>
        <v>38342062.8717077</v>
      </c>
      <c r="F10" s="4">
        <f>SUM(F5:F9)</f>
        <v>-9236699.2353441007</v>
      </c>
      <c r="G10" s="5">
        <f>D10+F10</f>
        <v>29105363.636363599</v>
      </c>
      <c r="H10" s="182"/>
      <c r="J10" t="s">
        <v>200</v>
      </c>
      <c r="K10" s="207">
        <v>4</v>
      </c>
      <c r="M10" s="161"/>
      <c r="O10" s="4">
        <f>-JEs!E48</f>
        <v>-21642500</v>
      </c>
    </row>
    <row r="11" spans="1:17" x14ac:dyDescent="0.25">
      <c r="A11" t="s">
        <v>190</v>
      </c>
      <c r="B11" s="216"/>
      <c r="D11" s="161"/>
      <c r="G11" s="5"/>
      <c r="H11" s="182"/>
      <c r="J11" t="s">
        <v>202</v>
      </c>
      <c r="K11" s="207">
        <v>6</v>
      </c>
      <c r="M11" s="161">
        <f>JEs!D71</f>
        <v>1980000</v>
      </c>
    </row>
    <row r="12" spans="1:17" x14ac:dyDescent="0.25">
      <c r="A12" t="s">
        <v>295</v>
      </c>
      <c r="B12" s="216"/>
      <c r="D12" s="161">
        <f>+D10+D11</f>
        <v>38342062.8717077</v>
      </c>
      <c r="F12" s="4">
        <f>+F10+F11</f>
        <v>-9236699.2353441007</v>
      </c>
      <c r="G12" s="5">
        <f>+D12+F12</f>
        <v>29105363.636363599</v>
      </c>
      <c r="H12" s="182"/>
      <c r="J12" t="s">
        <v>202</v>
      </c>
      <c r="K12" s="207">
        <v>6</v>
      </c>
      <c r="M12" s="161">
        <f>JEs!D73</f>
        <v>24310976.25</v>
      </c>
    </row>
    <row r="13" spans="1:17" x14ac:dyDescent="0.25">
      <c r="D13" s="161"/>
      <c r="G13" s="5"/>
      <c r="J13" s="169" t="s">
        <v>296</v>
      </c>
      <c r="M13" s="161">
        <f>SUM(M11:M12)</f>
        <v>26290976.25</v>
      </c>
      <c r="O13" s="4">
        <f>SUM(O9:O12)</f>
        <v>-23492500</v>
      </c>
      <c r="P13" s="5">
        <f>M13+O13</f>
        <v>2798476.25</v>
      </c>
    </row>
    <row r="14" spans="1:17" ht="15.75" customHeight="1" x14ac:dyDescent="0.25">
      <c r="A14" t="s">
        <v>200</v>
      </c>
      <c r="B14" s="207">
        <v>4</v>
      </c>
      <c r="C14" s="166"/>
      <c r="D14" s="161">
        <f>JEs!D41</f>
        <v>4271000.0000000019</v>
      </c>
      <c r="E14" s="166"/>
      <c r="F14" s="168"/>
      <c r="G14" s="166"/>
      <c r="H14" s="167"/>
      <c r="J14" s="176" t="s">
        <v>204</v>
      </c>
      <c r="K14" s="177">
        <v>10</v>
      </c>
      <c r="L14" s="176"/>
      <c r="M14" s="178"/>
      <c r="N14" s="176"/>
      <c r="O14" s="179">
        <f>-P13-P49</f>
        <v>-2668476.25</v>
      </c>
      <c r="P14" s="180"/>
      <c r="Q14" s="419" t="s">
        <v>99</v>
      </c>
    </row>
    <row r="15" spans="1:17" x14ac:dyDescent="0.25">
      <c r="A15" t="s">
        <v>200</v>
      </c>
      <c r="B15" s="207">
        <v>4</v>
      </c>
      <c r="D15" s="161">
        <f>JEs!D42</f>
        <v>4965699.2353440998</v>
      </c>
      <c r="J15" s="169" t="s">
        <v>297</v>
      </c>
      <c r="M15" s="161">
        <f>SUM(M13)</f>
        <v>26290976.25</v>
      </c>
      <c r="O15" s="4">
        <f>SUM(O13:O14)</f>
        <v>-26160976.25</v>
      </c>
      <c r="P15" s="5">
        <f>M15+O15</f>
        <v>130000</v>
      </c>
    </row>
    <row r="16" spans="1:17" x14ac:dyDescent="0.25">
      <c r="A16" t="s">
        <v>200</v>
      </c>
      <c r="B16" s="207">
        <v>4</v>
      </c>
      <c r="D16" s="161"/>
      <c r="F16" s="4">
        <f>-JEs!E44</f>
        <v>-5200000</v>
      </c>
      <c r="M16" s="161"/>
    </row>
    <row r="17" spans="1:19" x14ac:dyDescent="0.25">
      <c r="A17" t="s">
        <v>200</v>
      </c>
      <c r="B17" s="207">
        <v>4</v>
      </c>
      <c r="D17" s="161"/>
      <c r="F17" s="4">
        <f>-JEs!E45</f>
        <v>-15434562.8717077</v>
      </c>
      <c r="J17" t="s">
        <v>223</v>
      </c>
      <c r="K17" s="207">
        <v>14</v>
      </c>
      <c r="M17" s="161">
        <f>JEs!D158</f>
        <v>1010798.695137158</v>
      </c>
    </row>
    <row r="18" spans="1:19" x14ac:dyDescent="0.25">
      <c r="A18" t="s">
        <v>200</v>
      </c>
      <c r="B18" s="207">
        <v>4</v>
      </c>
      <c r="D18" s="161"/>
      <c r="F18" s="4">
        <f>-JEs!E46</f>
        <v>-17707500</v>
      </c>
      <c r="J18" t="s">
        <v>300</v>
      </c>
      <c r="M18" s="161">
        <f>SUM(M17)</f>
        <v>1010798.695137158</v>
      </c>
      <c r="O18" s="4">
        <f>SUM(O17)</f>
        <v>0</v>
      </c>
      <c r="P18" s="5">
        <f>M18+O18</f>
        <v>1010798.695137158</v>
      </c>
      <c r="Q18" s="182"/>
    </row>
    <row r="19" spans="1:19" x14ac:dyDescent="0.25">
      <c r="A19" t="s">
        <v>202</v>
      </c>
      <c r="B19" s="207">
        <v>6</v>
      </c>
      <c r="D19" s="161">
        <f>JEs!D69</f>
        <v>5200000</v>
      </c>
      <c r="M19" s="161"/>
    </row>
    <row r="20" spans="1:19" x14ac:dyDescent="0.25">
      <c r="A20" t="s">
        <v>202</v>
      </c>
      <c r="B20" s="207">
        <v>6</v>
      </c>
      <c r="D20" s="161">
        <f>JEs!D70</f>
        <v>15520433.765469097</v>
      </c>
      <c r="M20" s="161"/>
    </row>
    <row r="21" spans="1:19" x14ac:dyDescent="0.25">
      <c r="A21" t="s">
        <v>298</v>
      </c>
      <c r="B21" s="207">
        <v>6</v>
      </c>
      <c r="D21" s="161">
        <f>JEs!D72</f>
        <v>19890798.75</v>
      </c>
      <c r="M21" s="161"/>
    </row>
    <row r="22" spans="1:19" x14ac:dyDescent="0.25">
      <c r="A22" t="s">
        <v>299</v>
      </c>
      <c r="D22" s="161"/>
      <c r="F22" s="4">
        <f>-JEs!E74</f>
        <v>-4271000.0000000019</v>
      </c>
    </row>
    <row r="23" spans="1:19" x14ac:dyDescent="0.25">
      <c r="A23" t="s">
        <v>202</v>
      </c>
      <c r="B23" s="207">
        <v>6</v>
      </c>
      <c r="D23" s="161"/>
      <c r="F23" s="4">
        <f>-JEs!E75</f>
        <v>-4965699.2353440998</v>
      </c>
    </row>
    <row r="24" spans="1:19" x14ac:dyDescent="0.25">
      <c r="A24" t="s">
        <v>204</v>
      </c>
      <c r="B24" s="207">
        <v>7</v>
      </c>
      <c r="D24" s="161"/>
      <c r="F24" s="4">
        <f>-JEs!E85</f>
        <v>-2255101.3937613568</v>
      </c>
    </row>
    <row r="25" spans="1:19" x14ac:dyDescent="0.25">
      <c r="A25" s="169" t="s">
        <v>301</v>
      </c>
      <c r="D25" s="161">
        <f>SUM(D14:D24)</f>
        <v>49847931.750813201</v>
      </c>
      <c r="E25" s="211"/>
      <c r="F25" s="28">
        <f>SUM(F14:F24)</f>
        <v>-49833863.500813156</v>
      </c>
      <c r="G25" s="5">
        <f>+D25+F25</f>
        <v>14068.250000044703</v>
      </c>
    </row>
    <row r="26" spans="1:19" x14ac:dyDescent="0.25">
      <c r="A26" s="176" t="s">
        <v>204</v>
      </c>
      <c r="B26" s="182">
        <v>10</v>
      </c>
      <c r="C26" s="181"/>
      <c r="D26" s="183"/>
      <c r="E26" s="181"/>
      <c r="F26" s="179">
        <f>-G25-G51</f>
        <v>-14068.250000044703</v>
      </c>
      <c r="G26" s="181"/>
      <c r="H26" s="418" t="s">
        <v>68</v>
      </c>
    </row>
    <row r="27" spans="1:19" x14ac:dyDescent="0.25">
      <c r="A27" s="169" t="s">
        <v>297</v>
      </c>
      <c r="D27" s="161">
        <f>SUM(D25)</f>
        <v>49847931.750813201</v>
      </c>
      <c r="F27" s="4">
        <f>SUM(F25:F26)</f>
        <v>-49847931.750813201</v>
      </c>
      <c r="G27" s="5">
        <f>D27+F27</f>
        <v>0</v>
      </c>
    </row>
    <row r="28" spans="1:19" x14ac:dyDescent="0.25">
      <c r="D28" s="161"/>
      <c r="S28" s="5"/>
    </row>
    <row r="29" spans="1:19" x14ac:dyDescent="0.25">
      <c r="A29" t="s">
        <v>223</v>
      </c>
      <c r="B29" s="207">
        <v>13</v>
      </c>
      <c r="D29" s="161">
        <f>'RPP 2nd TU'!K34</f>
        <v>537393.30735398317</v>
      </c>
      <c r="S29" s="5"/>
    </row>
    <row r="30" spans="1:19" x14ac:dyDescent="0.25">
      <c r="A30" t="s">
        <v>223</v>
      </c>
      <c r="B30" s="207">
        <v>14</v>
      </c>
      <c r="D30" s="161"/>
      <c r="F30" s="4">
        <f>-JEs!E159</f>
        <v>-1010798.695137158</v>
      </c>
      <c r="S30" s="5"/>
    </row>
    <row r="31" spans="1:19" x14ac:dyDescent="0.25">
      <c r="A31" s="169" t="s">
        <v>302</v>
      </c>
      <c r="D31" s="161">
        <f>SUM(D29:D30)</f>
        <v>537393.30735398317</v>
      </c>
      <c r="F31" s="4">
        <f>SUM(F30)</f>
        <v>-1010798.695137158</v>
      </c>
      <c r="G31" s="5">
        <f>D31+F31</f>
        <v>-473405.38778317487</v>
      </c>
      <c r="S31" s="5"/>
    </row>
    <row r="32" spans="1:19" x14ac:dyDescent="0.25">
      <c r="A32" s="181" t="s">
        <v>223</v>
      </c>
      <c r="B32" s="182">
        <v>15</v>
      </c>
      <c r="C32" s="181"/>
      <c r="D32" s="183">
        <f>-G31-G57</f>
        <v>69389.220968812238</v>
      </c>
      <c r="E32" s="181"/>
      <c r="F32" s="184"/>
      <c r="G32" s="181"/>
      <c r="H32" s="418" t="s">
        <v>224</v>
      </c>
      <c r="S32" s="5"/>
    </row>
    <row r="33" spans="1:19" x14ac:dyDescent="0.25">
      <c r="A33" t="s">
        <v>300</v>
      </c>
      <c r="D33" s="161">
        <f>SUM(D31:D32)</f>
        <v>606782.52832279541</v>
      </c>
      <c r="F33" s="4">
        <f>SUM(F31)</f>
        <v>-1010798.695137158</v>
      </c>
      <c r="G33" s="5">
        <f>SUM(D33:F33)</f>
        <v>-404016.16681436263</v>
      </c>
      <c r="S33" s="5"/>
    </row>
    <row r="34" spans="1:19" x14ac:dyDescent="0.25">
      <c r="S34" s="5"/>
    </row>
    <row r="36" spans="1:19" s="11" customFormat="1" ht="27.75" customHeight="1" x14ac:dyDescent="0.25">
      <c r="B36" s="206"/>
      <c r="C36" s="442" t="s">
        <v>192</v>
      </c>
      <c r="D36" s="442"/>
      <c r="E36" s="442"/>
      <c r="F36" s="442"/>
      <c r="H36" s="206"/>
      <c r="K36" s="206"/>
      <c r="L36" s="467" t="s">
        <v>193</v>
      </c>
      <c r="M36" s="467"/>
      <c r="N36" s="467"/>
      <c r="O36" s="467"/>
      <c r="Q36" s="206"/>
    </row>
    <row r="37" spans="1:19" s="11" customFormat="1" ht="15.75" thickBot="1" x14ac:dyDescent="0.3">
      <c r="A37" s="11" t="s">
        <v>63</v>
      </c>
      <c r="B37" s="206" t="s">
        <v>189</v>
      </c>
      <c r="C37" s="508" t="s">
        <v>97</v>
      </c>
      <c r="D37" s="508"/>
      <c r="E37" s="508" t="s">
        <v>98</v>
      </c>
      <c r="F37" s="508"/>
      <c r="G37" s="159" t="s">
        <v>64</v>
      </c>
      <c r="H37" s="208" t="s">
        <v>196</v>
      </c>
      <c r="J37" s="11" t="s">
        <v>63</v>
      </c>
      <c r="K37" s="206" t="s">
        <v>189</v>
      </c>
      <c r="L37" s="508" t="s">
        <v>97</v>
      </c>
      <c r="M37" s="508"/>
      <c r="N37" s="508" t="s">
        <v>98</v>
      </c>
      <c r="O37" s="508"/>
      <c r="P37" s="159" t="s">
        <v>64</v>
      </c>
      <c r="Q37" s="208" t="s">
        <v>196</v>
      </c>
    </row>
    <row r="38" spans="1:19" ht="15.75" thickTop="1" x14ac:dyDescent="0.25">
      <c r="A38" t="s">
        <v>190</v>
      </c>
      <c r="B38" s="207">
        <v>2</v>
      </c>
      <c r="C38" s="158"/>
      <c r="D38" s="160"/>
      <c r="E38" s="158"/>
      <c r="F38" s="162">
        <f>-JEs!E21</f>
        <v>-20524000</v>
      </c>
      <c r="J38" t="s">
        <v>190</v>
      </c>
      <c r="K38" s="207">
        <v>2</v>
      </c>
      <c r="L38" s="158"/>
      <c r="M38" s="160"/>
      <c r="N38" s="158"/>
      <c r="O38" s="162">
        <f>-JEs!E23</f>
        <v>-1850000</v>
      </c>
    </row>
    <row r="39" spans="1:19" x14ac:dyDescent="0.25">
      <c r="A39" t="s">
        <v>190</v>
      </c>
      <c r="B39" s="207">
        <v>2</v>
      </c>
      <c r="D39" s="161"/>
      <c r="F39" s="4">
        <f>-JEs!E22</f>
        <v>-8581363.6363636367</v>
      </c>
      <c r="J39" t="s">
        <v>190</v>
      </c>
      <c r="K39" s="207">
        <v>2</v>
      </c>
      <c r="M39" s="161"/>
      <c r="O39" s="4">
        <f>-JEs!E24</f>
        <v>-29122500</v>
      </c>
    </row>
    <row r="40" spans="1:19" x14ac:dyDescent="0.25">
      <c r="A40" t="s">
        <v>303</v>
      </c>
      <c r="D40" s="161"/>
      <c r="F40" s="4">
        <f>SUM(F38:F39)</f>
        <v>-29105363.636363637</v>
      </c>
      <c r="G40" s="5">
        <f>D40+F40</f>
        <v>-29105363.636363637</v>
      </c>
      <c r="H40" s="182"/>
      <c r="J40" s="169" t="s">
        <v>303</v>
      </c>
      <c r="M40" s="161"/>
      <c r="O40" s="4">
        <f>SUM(O38:O39)</f>
        <v>-30972500</v>
      </c>
      <c r="P40" s="5">
        <f>M40+O40</f>
        <v>-30972500</v>
      </c>
      <c r="Q40" s="182"/>
      <c r="S40" s="5"/>
    </row>
    <row r="41" spans="1:19" x14ac:dyDescent="0.25">
      <c r="A41" t="s">
        <v>190</v>
      </c>
      <c r="B41" s="216">
        <v>3</v>
      </c>
      <c r="D41" s="161">
        <f>-G10-G40</f>
        <v>3.7252902984619141E-8</v>
      </c>
      <c r="G41" s="5"/>
      <c r="H41" s="418" t="s">
        <v>66</v>
      </c>
      <c r="J41" s="176" t="s">
        <v>190</v>
      </c>
      <c r="K41" s="182">
        <v>3</v>
      </c>
      <c r="L41" s="181"/>
      <c r="M41" s="183">
        <f>-P40-P7</f>
        <v>7480000</v>
      </c>
      <c r="N41" s="181"/>
      <c r="O41" s="184"/>
      <c r="P41" s="181"/>
      <c r="Q41" s="418" t="s">
        <v>67</v>
      </c>
      <c r="S41" s="5"/>
    </row>
    <row r="42" spans="1:19" x14ac:dyDescent="0.25">
      <c r="A42" t="s">
        <v>295</v>
      </c>
      <c r="B42" s="216"/>
      <c r="D42" s="161">
        <f>+D40+D41</f>
        <v>3.7252902984619141E-8</v>
      </c>
      <c r="F42" s="4">
        <f>+F40+F41</f>
        <v>-29105363.636363637</v>
      </c>
      <c r="G42" s="5">
        <f>+D42+F42</f>
        <v>-29105363.636363599</v>
      </c>
      <c r="H42" s="182"/>
      <c r="J42" t="s">
        <v>295</v>
      </c>
      <c r="K42" s="182"/>
      <c r="L42" s="181"/>
      <c r="M42" s="212">
        <f>SUM(M41)</f>
        <v>7480000</v>
      </c>
      <c r="N42" s="181"/>
      <c r="O42" s="213">
        <f>O40</f>
        <v>-30972500</v>
      </c>
      <c r="P42" s="214">
        <f>M42+O42</f>
        <v>-23492500</v>
      </c>
      <c r="Q42" s="182"/>
      <c r="S42" s="5"/>
    </row>
    <row r="43" spans="1:19" x14ac:dyDescent="0.25">
      <c r="D43" s="161"/>
      <c r="M43" s="161"/>
    </row>
    <row r="44" spans="1:19" x14ac:dyDescent="0.25">
      <c r="D44" s="161"/>
      <c r="J44" t="s">
        <v>200</v>
      </c>
      <c r="K44" s="207">
        <v>5</v>
      </c>
      <c r="M44" s="161">
        <f>JEs!D59</f>
        <v>1850000</v>
      </c>
    </row>
    <row r="45" spans="1:19" x14ac:dyDescent="0.25">
      <c r="A45" t="s">
        <v>200</v>
      </c>
      <c r="B45" s="207">
        <v>5</v>
      </c>
      <c r="D45" s="161">
        <f>JEs!D57</f>
        <v>20524000</v>
      </c>
      <c r="J45" t="s">
        <v>200</v>
      </c>
      <c r="K45" s="207">
        <v>5</v>
      </c>
      <c r="M45" s="161">
        <f>JEs!D60</f>
        <v>29122500</v>
      </c>
    </row>
    <row r="46" spans="1:19" x14ac:dyDescent="0.25">
      <c r="A46" t="s">
        <v>200</v>
      </c>
      <c r="B46" s="207">
        <v>5</v>
      </c>
      <c r="D46" s="161">
        <f>JEs!D58</f>
        <v>8581363.6363636367</v>
      </c>
      <c r="J46" t="s">
        <v>204</v>
      </c>
      <c r="K46" s="207">
        <v>8</v>
      </c>
      <c r="M46" s="161"/>
      <c r="O46" s="4">
        <f>-JEs!E96</f>
        <v>-1980000</v>
      </c>
    </row>
    <row r="47" spans="1:19" x14ac:dyDescent="0.25">
      <c r="A47" t="s">
        <v>204</v>
      </c>
      <c r="B47" s="207">
        <v>8</v>
      </c>
      <c r="D47" s="161"/>
      <c r="F47" s="4">
        <f>-JEs!E94</f>
        <v>-10262000</v>
      </c>
      <c r="G47" s="5"/>
      <c r="J47" t="s">
        <v>204</v>
      </c>
      <c r="K47" s="207">
        <v>8</v>
      </c>
      <c r="M47" s="161"/>
      <c r="O47" s="4">
        <f>-JEs!E97</f>
        <v>-14561250</v>
      </c>
    </row>
    <row r="48" spans="1:19" x14ac:dyDescent="0.25">
      <c r="A48" t="s">
        <v>204</v>
      </c>
      <c r="B48" s="207">
        <v>8</v>
      </c>
      <c r="D48" s="161"/>
      <c r="F48" s="4">
        <f>-JEs!E95</f>
        <v>-4290681.8181818184</v>
      </c>
      <c r="J48" s="169" t="s">
        <v>204</v>
      </c>
      <c r="K48" s="170">
        <v>9</v>
      </c>
      <c r="L48" s="169"/>
      <c r="M48" s="171"/>
      <c r="N48" s="169"/>
      <c r="O48" s="172">
        <f>-JEs!E108</f>
        <v>-14561250</v>
      </c>
    </row>
    <row r="49" spans="1:17" x14ac:dyDescent="0.25">
      <c r="A49" t="s">
        <v>204</v>
      </c>
      <c r="B49" s="207">
        <v>9</v>
      </c>
      <c r="D49" s="161"/>
      <c r="F49" s="4">
        <f>-JEs!E106</f>
        <v>-10262000</v>
      </c>
      <c r="J49" s="169" t="s">
        <v>297</v>
      </c>
      <c r="M49" s="161">
        <f>SUM(M44:M48)</f>
        <v>30972500</v>
      </c>
      <c r="O49" s="4">
        <f>SUM(O44:O48)</f>
        <v>-31102500</v>
      </c>
      <c r="P49" s="5">
        <f>M49+O49</f>
        <v>-130000</v>
      </c>
      <c r="Q49" s="182"/>
    </row>
    <row r="50" spans="1:17" x14ac:dyDescent="0.25">
      <c r="A50" t="s">
        <v>204</v>
      </c>
      <c r="B50" s="207">
        <v>9</v>
      </c>
      <c r="D50" s="161"/>
      <c r="F50" s="4">
        <f>-JEs!E107</f>
        <v>-4290681.8181818184</v>
      </c>
      <c r="M50" s="161"/>
      <c r="Q50" s="182"/>
    </row>
    <row r="51" spans="1:17" x14ac:dyDescent="0.25">
      <c r="A51" s="169" t="s">
        <v>297</v>
      </c>
      <c r="D51" s="161">
        <f>SUM(D45:D48)</f>
        <v>29105363.636363637</v>
      </c>
      <c r="F51" s="4">
        <f>SUM(F47:F50)</f>
        <v>-29105363.63636364</v>
      </c>
      <c r="G51" s="5">
        <f>D51+F51</f>
        <v>0</v>
      </c>
      <c r="J51" t="s">
        <v>219</v>
      </c>
      <c r="K51" s="207">
        <v>11</v>
      </c>
      <c r="M51" s="161">
        <f>JEs!D129</f>
        <v>14561250</v>
      </c>
    </row>
    <row r="52" spans="1:17" x14ac:dyDescent="0.25">
      <c r="D52" s="161"/>
      <c r="G52" s="5"/>
      <c r="J52" t="s">
        <v>223</v>
      </c>
      <c r="K52" s="207">
        <v>12</v>
      </c>
      <c r="M52" s="161"/>
      <c r="O52" s="4">
        <f>-JEs!E141</f>
        <v>-15847935</v>
      </c>
    </row>
    <row r="53" spans="1:17" x14ac:dyDescent="0.25">
      <c r="A53" t="s">
        <v>219</v>
      </c>
      <c r="B53" s="207">
        <v>11</v>
      </c>
      <c r="D53" s="161">
        <f>JEs!D127</f>
        <v>10262000</v>
      </c>
      <c r="J53" s="169" t="s">
        <v>302</v>
      </c>
      <c r="M53" s="161">
        <f>SUM(M51:M52)</f>
        <v>14561250</v>
      </c>
      <c r="O53" s="4">
        <f>SUM(O52)</f>
        <v>-15847935</v>
      </c>
      <c r="P53" s="5">
        <f>M53+O53</f>
        <v>-1286685</v>
      </c>
      <c r="Q53" s="182"/>
    </row>
    <row r="54" spans="1:17" x14ac:dyDescent="0.25">
      <c r="A54" t="s">
        <v>219</v>
      </c>
      <c r="B54" s="207">
        <v>11</v>
      </c>
      <c r="D54" s="161">
        <f>JEs!D128</f>
        <v>4290681.8181818184</v>
      </c>
      <c r="J54" s="176" t="s">
        <v>223</v>
      </c>
      <c r="K54" s="182">
        <v>15</v>
      </c>
      <c r="L54" s="181"/>
      <c r="M54" s="183">
        <f>-P18-P53</f>
        <v>275886.30486284196</v>
      </c>
      <c r="N54" s="181"/>
      <c r="O54" s="184"/>
      <c r="P54" s="181"/>
      <c r="Q54" s="418" t="s">
        <v>225</v>
      </c>
    </row>
    <row r="55" spans="1:17" x14ac:dyDescent="0.25">
      <c r="A55" t="s">
        <v>223</v>
      </c>
      <c r="B55" s="207">
        <v>12</v>
      </c>
      <c r="D55" s="161"/>
      <c r="F55" s="4">
        <f>-JEs!E139</f>
        <v>-9495443.8976377957</v>
      </c>
      <c r="J55" t="s">
        <v>300</v>
      </c>
      <c r="M55" s="161">
        <f>SUM(M53:M54)</f>
        <v>14837136.304862842</v>
      </c>
      <c r="O55" s="4">
        <f>SUM(O53)</f>
        <v>-15847935</v>
      </c>
      <c r="P55" s="5">
        <f>M55+O55</f>
        <v>-1010798.695137158</v>
      </c>
    </row>
    <row r="56" spans="1:17" x14ac:dyDescent="0.25">
      <c r="A56" t="s">
        <v>223</v>
      </c>
      <c r="B56" s="207">
        <v>12</v>
      </c>
      <c r="D56" s="161"/>
      <c r="F56" s="4">
        <f>-JEs!E140</f>
        <v>-4653221.7537296601</v>
      </c>
      <c r="M56" s="161"/>
    </row>
    <row r="57" spans="1:17" x14ac:dyDescent="0.25">
      <c r="A57" t="s">
        <v>300</v>
      </c>
      <c r="D57" s="161">
        <f>SUM(D53:D56)</f>
        <v>14552681.818181818</v>
      </c>
      <c r="F57" s="4">
        <f>SUM(F55:F56)</f>
        <v>-14148665.651367456</v>
      </c>
      <c r="G57" s="5">
        <f>D57+F57</f>
        <v>404016.16681436263</v>
      </c>
      <c r="H57" s="182"/>
      <c r="M57" s="161"/>
      <c r="O57" s="28"/>
      <c r="P57" s="8"/>
    </row>
    <row r="58" spans="1:17" x14ac:dyDescent="0.25">
      <c r="D58" s="161"/>
      <c r="M58" s="161"/>
    </row>
    <row r="59" spans="1:17" x14ac:dyDescent="0.25">
      <c r="D59" s="28"/>
      <c r="E59" s="8"/>
    </row>
    <row r="61" spans="1:17" s="11" customFormat="1" x14ac:dyDescent="0.25">
      <c r="B61" s="206"/>
      <c r="C61" s="442" t="s">
        <v>194</v>
      </c>
      <c r="D61" s="442"/>
      <c r="E61" s="442"/>
      <c r="F61" s="442"/>
      <c r="H61" s="206"/>
      <c r="K61" s="206"/>
      <c r="L61" s="442" t="s">
        <v>195</v>
      </c>
      <c r="M61" s="442"/>
      <c r="N61" s="442"/>
      <c r="O61" s="442"/>
      <c r="Q61" s="206"/>
    </row>
    <row r="62" spans="1:17" s="11" customFormat="1" ht="15.75" thickBot="1" x14ac:dyDescent="0.3">
      <c r="A62" s="11" t="s">
        <v>63</v>
      </c>
      <c r="B62" s="206" t="s">
        <v>189</v>
      </c>
      <c r="C62" s="508" t="s">
        <v>97</v>
      </c>
      <c r="D62" s="508"/>
      <c r="E62" s="508" t="s">
        <v>98</v>
      </c>
      <c r="F62" s="508"/>
      <c r="G62" s="159" t="s">
        <v>64</v>
      </c>
      <c r="H62" s="208" t="s">
        <v>196</v>
      </c>
      <c r="J62" s="11" t="s">
        <v>63</v>
      </c>
      <c r="K62" s="206" t="s">
        <v>189</v>
      </c>
      <c r="L62" s="508" t="s">
        <v>97</v>
      </c>
      <c r="M62" s="508"/>
      <c r="N62" s="508" t="s">
        <v>98</v>
      </c>
      <c r="O62" s="508"/>
      <c r="P62" s="159" t="s">
        <v>64</v>
      </c>
      <c r="Q62" s="208" t="s">
        <v>196</v>
      </c>
    </row>
    <row r="63" spans="1:17" ht="15.75" thickTop="1" x14ac:dyDescent="0.25">
      <c r="A63" s="169" t="s">
        <v>190</v>
      </c>
      <c r="B63" s="170">
        <v>3</v>
      </c>
      <c r="C63" s="173"/>
      <c r="D63" s="174">
        <v>0</v>
      </c>
      <c r="E63" s="173"/>
      <c r="F63" s="175">
        <f>-D41</f>
        <v>-3.7252902984619141E-8</v>
      </c>
      <c r="G63" s="169"/>
      <c r="H63" s="418" t="s">
        <v>66</v>
      </c>
      <c r="J63" t="s">
        <v>190</v>
      </c>
      <c r="K63" s="207">
        <v>3</v>
      </c>
      <c r="L63" s="158"/>
      <c r="M63" s="160"/>
      <c r="N63" s="158"/>
      <c r="O63" s="175">
        <f>-M41</f>
        <v>-7480000</v>
      </c>
      <c r="Q63" s="418" t="s">
        <v>67</v>
      </c>
    </row>
    <row r="64" spans="1:17" x14ac:dyDescent="0.25">
      <c r="A64" t="s">
        <v>204</v>
      </c>
      <c r="B64" s="207">
        <v>10</v>
      </c>
      <c r="C64" s="8"/>
      <c r="D64" s="171">
        <f>-F26</f>
        <v>14068.250000044703</v>
      </c>
      <c r="E64" s="8"/>
      <c r="F64" s="28"/>
      <c r="H64" s="418" t="s">
        <v>68</v>
      </c>
      <c r="J64" t="s">
        <v>204</v>
      </c>
      <c r="K64" s="207">
        <v>10</v>
      </c>
      <c r="M64" s="161">
        <f>-O14</f>
        <v>2668476.25</v>
      </c>
      <c r="Q64" s="418" t="s">
        <v>99</v>
      </c>
    </row>
    <row r="65" spans="1:21" x14ac:dyDescent="0.25">
      <c r="A65" t="s">
        <v>223</v>
      </c>
      <c r="B65" s="207">
        <v>15</v>
      </c>
      <c r="D65" s="161"/>
      <c r="F65" s="172">
        <f>-D32</f>
        <v>-69389.220968812238</v>
      </c>
      <c r="H65" s="418" t="s">
        <v>224</v>
      </c>
      <c r="J65" t="s">
        <v>223</v>
      </c>
      <c r="K65" s="207">
        <v>15</v>
      </c>
      <c r="M65" s="161"/>
      <c r="O65" s="4">
        <f>-M54</f>
        <v>-275886.30486284196</v>
      </c>
      <c r="Q65" s="418" t="s">
        <v>225</v>
      </c>
    </row>
    <row r="66" spans="1:21" x14ac:dyDescent="0.25">
      <c r="A66" t="s">
        <v>228</v>
      </c>
      <c r="D66" s="171">
        <f>SUM(D63:D65)</f>
        <v>14068.250000044703</v>
      </c>
      <c r="F66" s="4">
        <f>SUM(F63:F65)</f>
        <v>-69389.220968849491</v>
      </c>
      <c r="G66" s="5">
        <f>D66+F66</f>
        <v>-55320.970968804788</v>
      </c>
      <c r="J66" t="s">
        <v>228</v>
      </c>
      <c r="M66" s="161">
        <f>SUM(M64:M65)</f>
        <v>2668476.25</v>
      </c>
      <c r="O66" s="4">
        <f>SUM(O63:O65)</f>
        <v>-7755886.304862842</v>
      </c>
      <c r="P66" s="5">
        <f>M66+O66</f>
        <v>-5087410.054862842</v>
      </c>
    </row>
    <row r="67" spans="1:21" x14ac:dyDescent="0.25">
      <c r="D67" s="161"/>
      <c r="M67" s="161"/>
      <c r="P67" s="5"/>
    </row>
    <row r="68" spans="1:21" x14ac:dyDescent="0.25">
      <c r="D68" s="161"/>
      <c r="M68" s="161"/>
    </row>
    <row r="69" spans="1:21" x14ac:dyDescent="0.25">
      <c r="A69" s="8"/>
      <c r="B69" s="215"/>
      <c r="C69" s="8"/>
      <c r="D69" s="28"/>
      <c r="E69" s="8"/>
      <c r="F69" s="28"/>
      <c r="G69" s="8"/>
      <c r="H69" s="215"/>
      <c r="I69" s="8"/>
      <c r="J69" s="8"/>
      <c r="K69" s="215"/>
      <c r="L69" s="8"/>
      <c r="M69" s="28"/>
      <c r="N69" s="8"/>
      <c r="O69" s="28"/>
    </row>
    <row r="70" spans="1:21" x14ac:dyDescent="0.25">
      <c r="A70" s="505" t="s">
        <v>65</v>
      </c>
      <c r="B70" s="505"/>
      <c r="C70" s="4"/>
      <c r="D70"/>
      <c r="E70" s="4"/>
      <c r="F70"/>
      <c r="G70" s="207"/>
      <c r="H70"/>
      <c r="J70" s="207"/>
      <c r="K70"/>
      <c r="L70" s="4"/>
      <c r="M70"/>
      <c r="N70" s="4"/>
      <c r="O70"/>
      <c r="P70" s="207"/>
    </row>
    <row r="71" spans="1:21" x14ac:dyDescent="0.25">
      <c r="A71" s="95"/>
      <c r="B71" s="182" t="s">
        <v>66</v>
      </c>
      <c r="C71" s="507" t="s">
        <v>350</v>
      </c>
      <c r="D71" s="507"/>
      <c r="E71" s="507"/>
      <c r="F71" s="507"/>
      <c r="G71" s="507"/>
      <c r="H71" s="507"/>
      <c r="I71" s="507"/>
      <c r="J71" s="507"/>
      <c r="K71" s="507"/>
      <c r="L71" s="507"/>
      <c r="M71" s="507"/>
      <c r="N71" s="507"/>
      <c r="O71" s="507"/>
      <c r="P71" s="507"/>
    </row>
    <row r="72" spans="1:21" x14ac:dyDescent="0.25">
      <c r="A72" s="95"/>
      <c r="B72" s="182" t="s">
        <v>67</v>
      </c>
      <c r="C72" s="507" t="s">
        <v>351</v>
      </c>
      <c r="D72" s="507"/>
      <c r="E72" s="507"/>
      <c r="F72" s="507"/>
      <c r="G72" s="507"/>
      <c r="H72" s="507"/>
      <c r="I72" s="507"/>
      <c r="J72" s="507"/>
      <c r="K72" s="507"/>
      <c r="L72" s="507"/>
      <c r="M72" s="507"/>
      <c r="N72" s="507"/>
      <c r="O72" s="507"/>
      <c r="P72" s="507"/>
    </row>
    <row r="73" spans="1:21" x14ac:dyDescent="0.25">
      <c r="A73" s="95"/>
      <c r="B73" s="182" t="s">
        <v>68</v>
      </c>
      <c r="C73" s="506" t="s">
        <v>352</v>
      </c>
      <c r="D73" s="506"/>
      <c r="E73" s="506"/>
      <c r="F73" s="506"/>
      <c r="G73" s="506"/>
      <c r="H73" s="506"/>
      <c r="I73" s="506"/>
      <c r="J73" s="506"/>
      <c r="K73" s="506"/>
      <c r="L73" s="506"/>
      <c r="M73" s="506"/>
      <c r="N73" s="506"/>
      <c r="O73" s="506"/>
      <c r="P73" s="506"/>
    </row>
    <row r="74" spans="1:21" x14ac:dyDescent="0.25">
      <c r="A74" s="95"/>
      <c r="B74" s="182" t="s">
        <v>99</v>
      </c>
      <c r="C74" s="507" t="s">
        <v>353</v>
      </c>
      <c r="D74" s="507"/>
      <c r="E74" s="507"/>
      <c r="F74" s="507"/>
      <c r="G74" s="507"/>
      <c r="H74" s="507"/>
      <c r="I74" s="507"/>
      <c r="J74" s="507"/>
      <c r="K74" s="507"/>
      <c r="L74" s="507"/>
      <c r="M74" s="507"/>
      <c r="N74" s="507"/>
      <c r="O74" s="507"/>
      <c r="P74" s="507"/>
    </row>
    <row r="75" spans="1:21" x14ac:dyDescent="0.25">
      <c r="A75" s="95"/>
      <c r="B75" s="182" t="s">
        <v>224</v>
      </c>
      <c r="C75" s="506" t="s">
        <v>354</v>
      </c>
      <c r="D75" s="506"/>
      <c r="E75" s="506"/>
      <c r="F75" s="506"/>
      <c r="G75" s="506"/>
      <c r="H75" s="506"/>
      <c r="I75" s="506"/>
      <c r="J75" s="506"/>
      <c r="K75" s="506"/>
      <c r="L75" s="506"/>
      <c r="M75" s="506"/>
      <c r="N75" s="506"/>
      <c r="O75" s="506"/>
      <c r="P75" s="506"/>
    </row>
    <row r="76" spans="1:21" x14ac:dyDescent="0.25">
      <c r="A76" s="95"/>
      <c r="B76" s="182" t="s">
        <v>225</v>
      </c>
      <c r="C76" s="507" t="s">
        <v>355</v>
      </c>
      <c r="D76" s="507"/>
      <c r="E76" s="507"/>
      <c r="F76" s="507"/>
      <c r="G76" s="507"/>
      <c r="H76" s="507"/>
      <c r="I76" s="507"/>
      <c r="J76" s="507"/>
      <c r="K76" s="507"/>
      <c r="L76" s="507"/>
      <c r="M76" s="507"/>
      <c r="N76" s="507"/>
      <c r="O76" s="507"/>
      <c r="P76" s="507"/>
    </row>
    <row r="77" spans="1:21" x14ac:dyDescent="0.25">
      <c r="A77" s="8"/>
      <c r="B77" s="215"/>
      <c r="C77" s="8"/>
      <c r="D77" s="28"/>
      <c r="E77" s="8"/>
      <c r="F77" s="28"/>
      <c r="G77" s="8"/>
      <c r="H77" s="215"/>
      <c r="I77" s="8"/>
      <c r="J77" s="8"/>
      <c r="K77" s="215"/>
      <c r="L77" s="8"/>
      <c r="M77" s="28"/>
      <c r="N77" s="8"/>
      <c r="O77" s="28"/>
    </row>
    <row r="80" spans="1:21" x14ac:dyDescent="0.25">
      <c r="R80" s="12"/>
      <c r="S80" s="12"/>
      <c r="T80" s="12"/>
      <c r="U80" s="12"/>
    </row>
  </sheetData>
  <mergeCells count="25">
    <mergeCell ref="C36:F36"/>
    <mergeCell ref="L36:O36"/>
    <mergeCell ref="C37:D37"/>
    <mergeCell ref="E37:F37"/>
    <mergeCell ref="L37:M37"/>
    <mergeCell ref="N37:O37"/>
    <mergeCell ref="C3:F3"/>
    <mergeCell ref="C4:D4"/>
    <mergeCell ref="E4:F4"/>
    <mergeCell ref="L4:M4"/>
    <mergeCell ref="N4:O4"/>
    <mergeCell ref="L3:O3"/>
    <mergeCell ref="L61:O61"/>
    <mergeCell ref="C62:D62"/>
    <mergeCell ref="E62:F62"/>
    <mergeCell ref="L62:M62"/>
    <mergeCell ref="N62:O62"/>
    <mergeCell ref="C61:F61"/>
    <mergeCell ref="A70:B70"/>
    <mergeCell ref="C73:P73"/>
    <mergeCell ref="C74:P74"/>
    <mergeCell ref="C75:P75"/>
    <mergeCell ref="C76:P76"/>
    <mergeCell ref="C71:P71"/>
    <mergeCell ref="C72:P72"/>
  </mergeCells>
  <pageMargins left="0.7" right="0.7" top="0.75" bottom="0.75" header="0.3" footer="0.3"/>
  <pageSetup paperSize="17"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JEs!Print_Area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Robert Stephen</cp:lastModifiedBy>
  <cp:lastPrinted>2019-02-21T20:35:44Z</cp:lastPrinted>
  <dcterms:created xsi:type="dcterms:W3CDTF">2018-09-11T21:06:14Z</dcterms:created>
  <dcterms:modified xsi:type="dcterms:W3CDTF">2019-02-21T22:24:13Z</dcterms:modified>
</cp:coreProperties>
</file>