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Limited\Registrar_Adj Process\Cases\2018 COS &amp; CIR\EB-2017-0073 (AMR) Sioux Lookout\Application\"/>
    </mc:Choice>
  </mc:AlternateContent>
  <bookViews>
    <workbookView xWindow="-20" yWindow="-20" windowWidth="20730" windowHeight="6120" tabRatio="831" firstSheet="4" activeTab="11"/>
  </bookViews>
  <sheets>
    <sheet name="Exhibit 3 Tables" sheetId="29" r:id="rId1"/>
    <sheet name="Summary" sheetId="11" r:id="rId2"/>
    <sheet name="Purchased Power Model " sheetId="28" r:id="rId3"/>
    <sheet name="Purchased Power Model WN" sheetId="31" r:id="rId4"/>
    <sheet name="Res Cust" sheetId="20" r:id="rId5"/>
    <sheet name="GS &lt; 50 kW Cust" sheetId="21" r:id="rId6"/>
    <sheet name="GS &gt; 50 kW Cust" sheetId="22" r:id="rId7"/>
    <sheet name="Rate Class Energy Model" sheetId="9" r:id="rId8"/>
    <sheet name="Rate Class Customer Model" sheetId="17" r:id="rId9"/>
    <sheet name="Rate Class Load Model" sheetId="18" r:id="rId10"/>
    <sheet name="CDM Activity" sheetId="23" r:id="rId11"/>
    <sheet name="Pulp Mill" sheetId="24" r:id="rId12"/>
    <sheet name="Weather Analysis" sheetId="27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_CAP1000" localSheetId="0">#REF!</definedName>
    <definedName name="__CAP1000" localSheetId="3">#REF!</definedName>
    <definedName name="__CAP1000">#REF!</definedName>
    <definedName name="__OP1000" localSheetId="0">#REF!</definedName>
    <definedName name="__OP1000" localSheetId="3">#REF!</definedName>
    <definedName name="__OP1000">#REF!</definedName>
    <definedName name="_110" localSheetId="0">#REF!</definedName>
    <definedName name="_110" localSheetId="3">#REF!</definedName>
    <definedName name="_110">#REF!</definedName>
    <definedName name="_110INPT" localSheetId="3">#REF!</definedName>
    <definedName name="_110INPT">#REF!</definedName>
    <definedName name="_115" localSheetId="3">#REF!</definedName>
    <definedName name="_115">#REF!</definedName>
    <definedName name="_115INPT" localSheetId="3">#REF!</definedName>
    <definedName name="_115INPT">#REF!</definedName>
    <definedName name="_120" localSheetId="3">#REF!</definedName>
    <definedName name="_120">#REF!</definedName>
    <definedName name="_140" localSheetId="3">#REF!</definedName>
    <definedName name="_140">#REF!</definedName>
    <definedName name="_140INPT" localSheetId="3">#REF!</definedName>
    <definedName name="_140INPT">#REF!</definedName>
    <definedName name="_CAP1000" localSheetId="3">#REF!</definedName>
    <definedName name="_CAP1000">#REF!</definedName>
    <definedName name="_Fill" hidden="1">'[1]Old MEA Statistics'!$B$250</definedName>
    <definedName name="_OP1000" localSheetId="0">#REF!</definedName>
    <definedName name="_OP1000" localSheetId="3">#REF!</definedName>
    <definedName name="_OP1000">#REF!</definedName>
    <definedName name="_Order1" hidden="1">255</definedName>
    <definedName name="_Order2" hidden="1">0</definedName>
    <definedName name="_Sort" localSheetId="10" hidden="1">[2]Sheet1!$G$40:$K$40</definedName>
    <definedName name="_Sort" localSheetId="0" hidden="1">[3]Sheet1!$G$40:$K$40</definedName>
    <definedName name="_Sort" localSheetId="12" hidden="1">[4]Sheet1!$G$40:$K$40</definedName>
    <definedName name="_Sort" hidden="1">[5]Sheet1!$G$40:$K$40</definedName>
    <definedName name="ALL" localSheetId="0">#REF!</definedName>
    <definedName name="ALL" localSheetId="3">#REF!</definedName>
    <definedName name="ALL">#REF!</definedName>
    <definedName name="ApprovedYr">[6]Z1.ModelVariables!$C$12</definedName>
    <definedName name="CAfile" localSheetId="0">[7]Refs!$B$2</definedName>
    <definedName name="CAfile">[8]Refs!$B$2</definedName>
    <definedName name="CAPCOSTS" localSheetId="0">#REF!</definedName>
    <definedName name="CAPCOSTS" localSheetId="3">#REF!</definedName>
    <definedName name="CAPCOSTS">#REF!</definedName>
    <definedName name="CAPITAL" localSheetId="0">#REF!</definedName>
    <definedName name="CAPITAL" localSheetId="3">#REF!</definedName>
    <definedName name="CAPITAL">#REF!</definedName>
    <definedName name="CapitalExpListing" localSheetId="0">#REF!</definedName>
    <definedName name="CapitalExpListing" localSheetId="3">#REF!</definedName>
    <definedName name="CapitalExpListing">#REF!</definedName>
    <definedName name="CArevReq" localSheetId="0">[7]Refs!$B$6</definedName>
    <definedName name="CArevReq">[8]Refs!$B$6</definedName>
    <definedName name="CASHFLOW" localSheetId="0">#REF!</definedName>
    <definedName name="CASHFLOW" localSheetId="3">#REF!</definedName>
    <definedName name="CASHFLOW">#REF!</definedName>
    <definedName name="cc" localSheetId="0">#REF!</definedName>
    <definedName name="cc" localSheetId="3">#REF!</definedName>
    <definedName name="cc">#REF!</definedName>
    <definedName name="ClassRange1" localSheetId="0">[7]Refs!$B$3</definedName>
    <definedName name="ClassRange1">[8]Refs!$B$3</definedName>
    <definedName name="ClassRange2" localSheetId="0">[7]Refs!$B$4</definedName>
    <definedName name="ClassRange2">[8]Refs!$B$4</definedName>
    <definedName name="contactf" localSheetId="0">#REF!</definedName>
    <definedName name="contactf" localSheetId="3">#REF!</definedName>
    <definedName name="contactf">#REF!</definedName>
    <definedName name="_xlnm.Criteria" localSheetId="0">#REF!</definedName>
    <definedName name="_xlnm.Criteria" localSheetId="3">#REF!</definedName>
    <definedName name="_xlnm.Criteria">#REF!</definedName>
    <definedName name="CRLF">[6]Z1.ModelVariables!$C$10</definedName>
    <definedName name="_xlnm.Database" localSheetId="0">#REF!</definedName>
    <definedName name="_xlnm.Database" localSheetId="3">#REF!</definedName>
    <definedName name="_xlnm.Database">#REF!</definedName>
    <definedName name="DaysInPreviousYear">'[9]Distribution Revenue by Source'!$B$22</definedName>
    <definedName name="DaysInYear">'[9]Distribution Revenue by Source'!$B$21</definedName>
    <definedName name="DEBTREPAY" localSheetId="0">#REF!</definedName>
    <definedName name="DEBTREPAY" localSheetId="3">#REF!</definedName>
    <definedName name="DEBTREPAY">#REF!</definedName>
    <definedName name="DeptDiv" localSheetId="0">#REF!</definedName>
    <definedName name="DeptDiv" localSheetId="3">#REF!</definedName>
    <definedName name="DeptDiv">#REF!</definedName>
    <definedName name="ExpenseAccountListing" localSheetId="0">#REF!</definedName>
    <definedName name="ExpenseAccountListing" localSheetId="3">#REF!</definedName>
    <definedName name="ExpenseAccountListing">#REF!</definedName>
    <definedName name="_xlnm.Extract" localSheetId="3">#REF!</definedName>
    <definedName name="_xlnm.Extract">#REF!</definedName>
    <definedName name="FakeBlank">[6]Z1.ModelVariables!$C$14</definedName>
    <definedName name="FolderPath" localSheetId="0">[7]Menu!$C$8</definedName>
    <definedName name="FolderPath">[8]Menu!$C$8</definedName>
    <definedName name="histdate">[10]Financials!$E$76</definedName>
    <definedName name="Incr2000" localSheetId="0">#REF!</definedName>
    <definedName name="Incr2000" localSheetId="3">#REF!</definedName>
    <definedName name="Incr2000">#REF!</definedName>
    <definedName name="INTERIM" localSheetId="0">#REF!</definedName>
    <definedName name="INTERIM" localSheetId="3">#REF!</definedName>
    <definedName name="INTERIM">#REF!</definedName>
    <definedName name="LIMIT" localSheetId="0">#REF!</definedName>
    <definedName name="LIMIT" localSheetId="3">#REF!</definedName>
    <definedName name="LIMIT">#REF!</definedName>
    <definedName name="man_beg_bud" localSheetId="3">#REF!</definedName>
    <definedName name="man_beg_bud">#REF!</definedName>
    <definedName name="man_end_bud" localSheetId="3">#REF!</definedName>
    <definedName name="man_end_bud">#REF!</definedName>
    <definedName name="man12ACT" localSheetId="3">#REF!</definedName>
    <definedName name="man12ACT">#REF!</definedName>
    <definedName name="MANBUD" localSheetId="3">#REF!</definedName>
    <definedName name="MANBUD">#REF!</definedName>
    <definedName name="manCYACT" localSheetId="3">#REF!</definedName>
    <definedName name="manCYACT">#REF!</definedName>
    <definedName name="manCYBUD" localSheetId="3">#REF!</definedName>
    <definedName name="manCYBUD">#REF!</definedName>
    <definedName name="manCYF" localSheetId="3">#REF!</definedName>
    <definedName name="manCYF">#REF!</definedName>
    <definedName name="MANEND" localSheetId="3">#REF!</definedName>
    <definedName name="MANEND">#REF!</definedName>
    <definedName name="manNYbud" localSheetId="3">#REF!</definedName>
    <definedName name="manNYbud">#REF!</definedName>
    <definedName name="manpower_costs" localSheetId="3">#REF!</definedName>
    <definedName name="manpower_costs">#REF!</definedName>
    <definedName name="manPYACT" localSheetId="3">#REF!</definedName>
    <definedName name="manPYACT">#REF!</definedName>
    <definedName name="MANSTART" localSheetId="3">#REF!</definedName>
    <definedName name="MANSTART">#REF!</definedName>
    <definedName name="mat_beg_bud" localSheetId="3">#REF!</definedName>
    <definedName name="mat_beg_bud">#REF!</definedName>
    <definedName name="mat_end_bud" localSheetId="3">#REF!</definedName>
    <definedName name="mat_end_bud">#REF!</definedName>
    <definedName name="mat12ACT" localSheetId="3">#REF!</definedName>
    <definedName name="mat12ACT">#REF!</definedName>
    <definedName name="MATBUD" localSheetId="3">#REF!</definedName>
    <definedName name="MATBUD">#REF!</definedName>
    <definedName name="matCYACT" localSheetId="3">#REF!</definedName>
    <definedName name="matCYACT">#REF!</definedName>
    <definedName name="matCYBUD" localSheetId="3">#REF!</definedName>
    <definedName name="matCYBUD">#REF!</definedName>
    <definedName name="matCYF" localSheetId="3">#REF!</definedName>
    <definedName name="matCYF">#REF!</definedName>
    <definedName name="MATEND" localSheetId="3">#REF!</definedName>
    <definedName name="MATEND">#REF!</definedName>
    <definedName name="material_costs" localSheetId="3">#REF!</definedName>
    <definedName name="material_costs">#REF!</definedName>
    <definedName name="matNYbud" localSheetId="3">#REF!</definedName>
    <definedName name="matNYbud">#REF!</definedName>
    <definedName name="matPYACT" localSheetId="3">#REF!</definedName>
    <definedName name="matPYACT">#REF!</definedName>
    <definedName name="MATSTART" localSheetId="3">#REF!</definedName>
    <definedName name="MATSTART">#REF!</definedName>
    <definedName name="mea" localSheetId="3">#REF!</definedName>
    <definedName name="mea">#REF!</definedName>
    <definedName name="MEABAL" localSheetId="3">#REF!</definedName>
    <definedName name="MEABAL">#REF!</definedName>
    <definedName name="MEACASH" localSheetId="3">#REF!</definedName>
    <definedName name="MEACASH">#REF!</definedName>
    <definedName name="MEAEQITY" localSheetId="3">#REF!</definedName>
    <definedName name="MEAEQITY">#REF!</definedName>
    <definedName name="MEAOP" localSheetId="3">#REF!</definedName>
    <definedName name="MEAOP">#REF!</definedName>
    <definedName name="MofF" localSheetId="3">#REF!</definedName>
    <definedName name="MofF">#REF!</definedName>
    <definedName name="NewRevReq" localSheetId="0">[7]Refs!$B$8</definedName>
    <definedName name="NewRevReq">[8]Refs!$B$8</definedName>
    <definedName name="NOTES" localSheetId="0">#REF!</definedName>
    <definedName name="NOTES" localSheetId="3">#REF!</definedName>
    <definedName name="NOTES">#REF!</definedName>
    <definedName name="OPERATING" localSheetId="0">#REF!</definedName>
    <definedName name="OPERATING" localSheetId="3">#REF!</definedName>
    <definedName name="OPERATING">#REF!</definedName>
    <definedName name="oth_beg_bud" localSheetId="0">#REF!</definedName>
    <definedName name="oth_beg_bud" localSheetId="3">#REF!</definedName>
    <definedName name="oth_beg_bud">#REF!</definedName>
    <definedName name="oth_end_bud" localSheetId="3">#REF!</definedName>
    <definedName name="oth_end_bud">#REF!</definedName>
    <definedName name="oth12ACT" localSheetId="3">#REF!</definedName>
    <definedName name="oth12ACT">#REF!</definedName>
    <definedName name="othCYACT" localSheetId="3">#REF!</definedName>
    <definedName name="othCYACT">#REF!</definedName>
    <definedName name="othCYBUD" localSheetId="3">#REF!</definedName>
    <definedName name="othCYBUD">#REF!</definedName>
    <definedName name="othCYF" localSheetId="3">#REF!</definedName>
    <definedName name="othCYF">#REF!</definedName>
    <definedName name="OTHEND" localSheetId="3">#REF!</definedName>
    <definedName name="OTHEND">#REF!</definedName>
    <definedName name="other_costs" localSheetId="3">#REF!</definedName>
    <definedName name="other_costs">#REF!</definedName>
    <definedName name="OTHERBUD" localSheetId="3">#REF!</definedName>
    <definedName name="OTHERBUD">#REF!</definedName>
    <definedName name="othNYbud" localSheetId="3">#REF!</definedName>
    <definedName name="othNYbud">#REF!</definedName>
    <definedName name="othPYACT" localSheetId="3">#REF!</definedName>
    <definedName name="othPYACT">#REF!</definedName>
    <definedName name="OTHSTART" localSheetId="3">#REF!</definedName>
    <definedName name="OTHSTART">#REF!</definedName>
    <definedName name="PAGE11" localSheetId="10">#REF!</definedName>
    <definedName name="PAGE11" localSheetId="0">#REF!</definedName>
    <definedName name="PAGE11" localSheetId="2">#REF!</definedName>
    <definedName name="PAGE11" localSheetId="3">#REF!</definedName>
    <definedName name="PAGE11" localSheetId="12">#REF!</definedName>
    <definedName name="PAGE11">#REF!</definedName>
    <definedName name="PAGE2" localSheetId="10">[2]Sheet1!$A$1:$I$40</definedName>
    <definedName name="PAGE2" localSheetId="0">[3]Sheet1!$A$1:$I$40</definedName>
    <definedName name="PAGE2" localSheetId="12">[4]Sheet1!$A$1:$I$40</definedName>
    <definedName name="PAGE2">[5]Sheet1!$A$1:$I$40</definedName>
    <definedName name="PAGE3" localSheetId="10">#REF!</definedName>
    <definedName name="PAGE3" localSheetId="0">#REF!</definedName>
    <definedName name="PAGE3" localSheetId="2">#REF!</definedName>
    <definedName name="PAGE3" localSheetId="3">#REF!</definedName>
    <definedName name="PAGE3" localSheetId="12">#REF!</definedName>
    <definedName name="PAGE3">#REF!</definedName>
    <definedName name="PAGE4" localSheetId="10">#REF!</definedName>
    <definedName name="PAGE4" localSheetId="0">#REF!</definedName>
    <definedName name="PAGE4" localSheetId="2">#REF!</definedName>
    <definedName name="PAGE4" localSheetId="3">#REF!</definedName>
    <definedName name="PAGE4" localSheetId="12">#REF!</definedName>
    <definedName name="PAGE4">#REF!</definedName>
    <definedName name="PAGE7" localSheetId="0">#REF!</definedName>
    <definedName name="PAGE7" localSheetId="2">#REF!</definedName>
    <definedName name="PAGE7" localSheetId="3">#REF!</definedName>
    <definedName name="PAGE7" localSheetId="12">#REF!</definedName>
    <definedName name="PAGE7">#REF!</definedName>
    <definedName name="PAGE9" localSheetId="0">#REF!</definedName>
    <definedName name="PAGE9" localSheetId="2">#REF!</definedName>
    <definedName name="PAGE9" localSheetId="3">#REF!</definedName>
    <definedName name="PAGE9" localSheetId="12">#REF!</definedName>
    <definedName name="PAGE9">#REF!</definedName>
    <definedName name="PageOne" localSheetId="3">#REF!</definedName>
    <definedName name="PageOne">#REF!</definedName>
    <definedName name="PR" localSheetId="3">#REF!</definedName>
    <definedName name="PR">#REF!</definedName>
    <definedName name="_xlnm.Print_Area" localSheetId="10">'CDM Activity'!$A$1:$R$39</definedName>
    <definedName name="_xlnm.Print_Area" localSheetId="5">'GS &lt; 50 kW Cust'!$F$62:$J$85</definedName>
    <definedName name="_xlnm.Print_Area" localSheetId="6">'GS &gt; 50 kW Cust'!$F$62:$J$85</definedName>
    <definedName name="_xlnm.Print_Area" localSheetId="2">'Purchased Power Model '!$O$28:$S$63</definedName>
    <definedName name="_xlnm.Print_Area" localSheetId="3">'Purchased Power Model WN'!$O$28:$S$63</definedName>
    <definedName name="_xlnm.Print_Area" localSheetId="8">'Rate Class Customer Model'!$A$1:$C$2</definedName>
    <definedName name="_xlnm.Print_Area" localSheetId="7">'Rate Class Energy Model'!$A$1:$I$2</definedName>
    <definedName name="_xlnm.Print_Area" localSheetId="9">'Rate Class Load Model'!$A$1:$A$1</definedName>
    <definedName name="_xlnm.Print_Area" localSheetId="4">'Res Cust'!$F$62:$J$85</definedName>
    <definedName name="_xlnm.Print_Area" localSheetId="1">Summary!#REF!</definedName>
    <definedName name="Print_Area_MI" localSheetId="0">#REF!</definedName>
    <definedName name="Print_Area_MI" localSheetId="3">#REF!</definedName>
    <definedName name="Print_Area_MI">#REF!</definedName>
    <definedName name="print_end" localSheetId="0">#REF!</definedName>
    <definedName name="print_end" localSheetId="3">#REF!</definedName>
    <definedName name="print_end">#REF!</definedName>
    <definedName name="PRIOR" localSheetId="0">#REF!</definedName>
    <definedName name="PRIOR" localSheetId="3">#REF!</definedName>
    <definedName name="PRIOR">#REF!</definedName>
    <definedName name="Ratebase">'[9]Distribution Revenue by Source'!$C$25</definedName>
    <definedName name="RevReqLookupKey" localSheetId="0">[7]Refs!$B$5</definedName>
    <definedName name="RevReqLookupKey">[8]Refs!$B$5</definedName>
    <definedName name="RevReqRange" localSheetId="0">[7]Refs!$B$7</definedName>
    <definedName name="RevReqRange">[8]Refs!$B$7</definedName>
    <definedName name="RVCASHPR" localSheetId="0">#REF!</definedName>
    <definedName name="RVCASHPR" localSheetId="3">#REF!</definedName>
    <definedName name="RVCASHPR">#REF!</definedName>
    <definedName name="SALBENF" localSheetId="0">#REF!</definedName>
    <definedName name="SALBENF" localSheetId="3">#REF!</definedName>
    <definedName name="SALBENF">#REF!</definedName>
    <definedName name="salreg" localSheetId="0">#REF!</definedName>
    <definedName name="salreg" localSheetId="3">#REF!</definedName>
    <definedName name="salreg">#REF!</definedName>
    <definedName name="SALREGF" localSheetId="3">#REF!</definedName>
    <definedName name="SALREGF">#REF!</definedName>
    <definedName name="SOURCEAPP" localSheetId="3">#REF!</definedName>
    <definedName name="SOURCEAPP">#REF!</definedName>
    <definedName name="STATS1" localSheetId="3">#REF!</definedName>
    <definedName name="STATS1">#REF!</definedName>
    <definedName name="STATS2" localSheetId="3">#REF!</definedName>
    <definedName name="STATS2">#REF!</definedName>
    <definedName name="Surtax" localSheetId="3">#REF!</definedName>
    <definedName name="Surtax">#REF!</definedName>
    <definedName name="TEMPA" localSheetId="3">#REF!</definedName>
    <definedName name="TEMPA">#REF!</definedName>
    <definedName name="TestYr">[6]A1.Admin!$C$13</definedName>
    <definedName name="TestYrPL">'[11]Revenue Requirement'!$B$10</definedName>
    <definedName name="total_dept" localSheetId="0">#REF!</definedName>
    <definedName name="total_dept" localSheetId="3">#REF!</definedName>
    <definedName name="total_dept">#REF!</definedName>
    <definedName name="total_manpower" localSheetId="0">#REF!</definedName>
    <definedName name="total_manpower" localSheetId="3">#REF!</definedName>
    <definedName name="total_manpower">#REF!</definedName>
    <definedName name="total_material" localSheetId="0">#REF!</definedName>
    <definedName name="total_material" localSheetId="3">#REF!</definedName>
    <definedName name="total_material">#REF!</definedName>
    <definedName name="total_other" localSheetId="3">#REF!</definedName>
    <definedName name="total_other">#REF!</definedName>
    <definedName name="total_transportation" localSheetId="3">#REF!</definedName>
    <definedName name="total_transportation">#REF!</definedName>
    <definedName name="TOTCAPADDITIONS" localSheetId="3">#REF!</definedName>
    <definedName name="TOTCAPADDITIONS">#REF!</definedName>
    <definedName name="TRANBUD" localSheetId="3">#REF!</definedName>
    <definedName name="TRANBUD">#REF!</definedName>
    <definedName name="TRANEND" localSheetId="3">#REF!</definedName>
    <definedName name="TRANEND">#REF!</definedName>
    <definedName name="TRANSCAP" localSheetId="3">#REF!</definedName>
    <definedName name="TRANSCAP">#REF!</definedName>
    <definedName name="TRANSFER" localSheetId="3">#REF!</definedName>
    <definedName name="TRANSFER">#REF!</definedName>
    <definedName name="transportation_costs" localSheetId="3">#REF!</definedName>
    <definedName name="transportation_costs">#REF!</definedName>
    <definedName name="TRANSTART" localSheetId="3">#REF!</definedName>
    <definedName name="TRANSTART">#REF!</definedName>
    <definedName name="trn_beg_bud" localSheetId="3">#REF!</definedName>
    <definedName name="trn_beg_bud">#REF!</definedName>
    <definedName name="trn_end_bud" localSheetId="3">#REF!</definedName>
    <definedName name="trn_end_bud">#REF!</definedName>
    <definedName name="trn12ACT" localSheetId="3">#REF!</definedName>
    <definedName name="trn12ACT">#REF!</definedName>
    <definedName name="trnCYACT" localSheetId="3">#REF!</definedName>
    <definedName name="trnCYACT">#REF!</definedName>
    <definedName name="trnCYBUD" localSheetId="3">#REF!</definedName>
    <definedName name="trnCYBUD">#REF!</definedName>
    <definedName name="trnCYF" localSheetId="3">#REF!</definedName>
    <definedName name="trnCYF">#REF!</definedName>
    <definedName name="trnNYbud" localSheetId="3">#REF!</definedName>
    <definedName name="trnNYbud">#REF!</definedName>
    <definedName name="trnPYACT" localSheetId="3">#REF!</definedName>
    <definedName name="trnPYACT">#REF!</definedName>
    <definedName name="Utility">[10]Financials!$A$1</definedName>
    <definedName name="utitliy1">[12]Financials!$A$1</definedName>
    <definedName name="WAGBENF" localSheetId="0">#REF!</definedName>
    <definedName name="WAGBENF" localSheetId="3">#REF!</definedName>
    <definedName name="WAGBENF">#REF!</definedName>
    <definedName name="wagdob" localSheetId="0">#REF!</definedName>
    <definedName name="wagdob" localSheetId="3">#REF!</definedName>
    <definedName name="wagdob">#REF!</definedName>
    <definedName name="wagdobf" localSheetId="0">#REF!</definedName>
    <definedName name="wagdobf" localSheetId="3">#REF!</definedName>
    <definedName name="wagdobf">#REF!</definedName>
    <definedName name="wagreg" localSheetId="3">#REF!</definedName>
    <definedName name="wagreg">#REF!</definedName>
    <definedName name="wagregf" localSheetId="3">#REF!</definedName>
    <definedName name="wagregf">#REF!</definedName>
  </definedNames>
  <calcPr calcId="162913" iterate="1"/>
</workbook>
</file>

<file path=xl/calcChain.xml><?xml version="1.0" encoding="utf-8"?>
<calcChain xmlns="http://schemas.openxmlformats.org/spreadsheetml/2006/main">
  <c r="B98" i="29" l="1"/>
  <c r="B99" i="29"/>
  <c r="A98" i="29"/>
  <c r="A99" i="29"/>
  <c r="B159" i="31"/>
  <c r="B158" i="31"/>
  <c r="B157" i="31"/>
  <c r="B156" i="31"/>
  <c r="B155" i="31"/>
  <c r="B154" i="31"/>
  <c r="B153" i="31"/>
  <c r="B152" i="31"/>
  <c r="B151" i="31"/>
  <c r="B150" i="31"/>
  <c r="M220" i="31"/>
  <c r="N220" i="31" s="1"/>
  <c r="O220" i="31" s="1"/>
  <c r="M219" i="31"/>
  <c r="N219" i="31" s="1"/>
  <c r="O219" i="31" s="1"/>
  <c r="M218" i="31"/>
  <c r="N218" i="31" s="1"/>
  <c r="O218" i="31" s="1"/>
  <c r="M217" i="31"/>
  <c r="N217" i="31" s="1"/>
  <c r="O217" i="31" s="1"/>
  <c r="M216" i="31"/>
  <c r="N216" i="31" s="1"/>
  <c r="O216" i="31" s="1"/>
  <c r="M215" i="31"/>
  <c r="N215" i="31" s="1"/>
  <c r="O215" i="31" s="1"/>
  <c r="M214" i="31"/>
  <c r="N214" i="31" s="1"/>
  <c r="O214" i="31" s="1"/>
  <c r="O236" i="31" s="1"/>
  <c r="E146" i="31"/>
  <c r="E145" i="31"/>
  <c r="E144" i="31"/>
  <c r="E143" i="31"/>
  <c r="E142" i="31"/>
  <c r="E141" i="31"/>
  <c r="E140" i="31"/>
  <c r="E139" i="31"/>
  <c r="E138" i="31"/>
  <c r="E137" i="31"/>
  <c r="E136" i="31"/>
  <c r="E135" i="31"/>
  <c r="E134" i="31"/>
  <c r="E133" i="31"/>
  <c r="E132" i="31"/>
  <c r="E131" i="31"/>
  <c r="E130" i="31"/>
  <c r="E129" i="31"/>
  <c r="E128" i="31"/>
  <c r="E127" i="31"/>
  <c r="E126" i="31"/>
  <c r="E125" i="31"/>
  <c r="E124" i="31"/>
  <c r="E123" i="31"/>
  <c r="B165" i="31" l="1"/>
  <c r="M222" i="31" l="1"/>
  <c r="N222" i="31" s="1"/>
  <c r="O222" i="31" s="1"/>
  <c r="M225" i="31"/>
  <c r="N225" i="31" s="1"/>
  <c r="O225" i="31" s="1"/>
  <c r="M223" i="31"/>
  <c r="N223" i="31" s="1"/>
  <c r="O223" i="31" s="1"/>
  <c r="M224" i="31"/>
  <c r="N224" i="31" s="1"/>
  <c r="O224" i="31" s="1"/>
  <c r="M221" i="31"/>
  <c r="N221" i="31" s="1"/>
  <c r="O221" i="31" s="1"/>
  <c r="E123" i="28" l="1"/>
  <c r="E124" i="28"/>
  <c r="E125" i="28"/>
  <c r="E126" i="28"/>
  <c r="E127" i="28"/>
  <c r="E128" i="28"/>
  <c r="E129" i="28"/>
  <c r="E130" i="28"/>
  <c r="E131" i="28"/>
  <c r="E132" i="28"/>
  <c r="E133" i="28"/>
  <c r="E134" i="28"/>
  <c r="E135" i="28"/>
  <c r="E136" i="28"/>
  <c r="E137" i="28"/>
  <c r="E138" i="28"/>
  <c r="E139" i="28"/>
  <c r="E140" i="28"/>
  <c r="E141" i="28"/>
  <c r="E142" i="28"/>
  <c r="E143" i="28"/>
  <c r="E144" i="28"/>
  <c r="E145" i="28"/>
  <c r="E146" i="28"/>
  <c r="E153" i="24" l="1"/>
  <c r="G153" i="24" s="1"/>
  <c r="E154" i="24"/>
  <c r="G154" i="24" s="1"/>
  <c r="E155" i="24"/>
  <c r="G155" i="24" s="1"/>
  <c r="E156" i="24"/>
  <c r="G156" i="24" s="1"/>
  <c r="E157" i="24"/>
  <c r="G157" i="24" s="1"/>
  <c r="E158" i="24"/>
  <c r="G158" i="24" s="1"/>
  <c r="E159" i="24"/>
  <c r="G159" i="24" s="1"/>
  <c r="E160" i="24"/>
  <c r="G160" i="24" s="1"/>
  <c r="E161" i="24"/>
  <c r="G161" i="24" s="1"/>
  <c r="E162" i="24"/>
  <c r="G162" i="24" s="1"/>
  <c r="E163" i="24"/>
  <c r="G163" i="24" s="1"/>
  <c r="E164" i="24"/>
  <c r="G164" i="24" s="1"/>
  <c r="E165" i="24"/>
  <c r="G165" i="24" s="1"/>
  <c r="E166" i="24"/>
  <c r="G166" i="24" s="1"/>
  <c r="E167" i="24"/>
  <c r="G167" i="24" s="1"/>
  <c r="E168" i="24"/>
  <c r="G168" i="24" s="1"/>
  <c r="E169" i="24"/>
  <c r="G169" i="24" s="1"/>
  <c r="E170" i="24"/>
  <c r="G170" i="24" s="1"/>
  <c r="E171" i="24"/>
  <c r="G171" i="24" s="1"/>
  <c r="E172" i="24"/>
  <c r="G172" i="24" s="1"/>
  <c r="E173" i="24"/>
  <c r="G173" i="24" s="1"/>
  <c r="E174" i="24"/>
  <c r="G174" i="24" s="1"/>
  <c r="E175" i="24"/>
  <c r="G175" i="24" s="1"/>
  <c r="E176" i="24"/>
  <c r="G176" i="24" s="1"/>
  <c r="E177" i="24"/>
  <c r="G177" i="24" s="1"/>
  <c r="E178" i="24"/>
  <c r="G178" i="24" s="1"/>
  <c r="E179" i="24"/>
  <c r="G179" i="24" s="1"/>
  <c r="E180" i="24"/>
  <c r="G180" i="24" s="1"/>
  <c r="E181" i="24"/>
  <c r="G181" i="24" s="1"/>
  <c r="E182" i="24"/>
  <c r="G182" i="24" s="1"/>
  <c r="E183" i="24"/>
  <c r="G183" i="24" s="1"/>
  <c r="E184" i="24"/>
  <c r="G184" i="24" s="1"/>
  <c r="E185" i="24"/>
  <c r="G185" i="24" s="1"/>
  <c r="E186" i="24"/>
  <c r="G186" i="24" s="1"/>
  <c r="E187" i="24"/>
  <c r="G187" i="24" s="1"/>
  <c r="E188" i="24"/>
  <c r="G188" i="24" s="1"/>
  <c r="E189" i="24"/>
  <c r="G189" i="24" s="1"/>
  <c r="E190" i="24"/>
  <c r="G190" i="24" s="1"/>
  <c r="E191" i="24"/>
  <c r="G191" i="24" s="1"/>
  <c r="E192" i="24"/>
  <c r="G192" i="24" s="1"/>
  <c r="E193" i="24"/>
  <c r="G193" i="24" s="1"/>
  <c r="E194" i="24"/>
  <c r="G194" i="24" s="1"/>
  <c r="E195" i="24"/>
  <c r="G195" i="24" s="1"/>
  <c r="E196" i="24"/>
  <c r="G196" i="24" s="1"/>
  <c r="E197" i="24"/>
  <c r="G197" i="24" s="1"/>
  <c r="E198" i="24"/>
  <c r="G198" i="24" s="1"/>
  <c r="E199" i="24"/>
  <c r="G199" i="24" s="1"/>
  <c r="E200" i="24"/>
  <c r="G200" i="24" s="1"/>
  <c r="E115" i="31" l="1"/>
  <c r="E115" i="28"/>
  <c r="L115" i="28" s="1"/>
  <c r="E122" i="31"/>
  <c r="E122" i="28"/>
  <c r="L122" i="28" s="1"/>
  <c r="E118" i="31"/>
  <c r="E118" i="28"/>
  <c r="L118" i="28" s="1"/>
  <c r="E114" i="31"/>
  <c r="E114" i="28"/>
  <c r="L114" i="28" s="1"/>
  <c r="E110" i="31"/>
  <c r="E110" i="28"/>
  <c r="L110" i="28" s="1"/>
  <c r="E106" i="31"/>
  <c r="E106" i="28"/>
  <c r="L106" i="28" s="1"/>
  <c r="E102" i="31"/>
  <c r="E102" i="28"/>
  <c r="L102" i="28" s="1"/>
  <c r="E98" i="31"/>
  <c r="E98" i="28"/>
  <c r="L98" i="28" s="1"/>
  <c r="E94" i="31"/>
  <c r="E94" i="28"/>
  <c r="L94" i="28" s="1"/>
  <c r="E90" i="31"/>
  <c r="E90" i="28"/>
  <c r="L90" i="28" s="1"/>
  <c r="E86" i="31"/>
  <c r="E86" i="28"/>
  <c r="L86" i="28" s="1"/>
  <c r="E82" i="31"/>
  <c r="E82" i="28"/>
  <c r="L82" i="28" s="1"/>
  <c r="E78" i="31"/>
  <c r="E78" i="28"/>
  <c r="L78" i="28" s="1"/>
  <c r="E121" i="31"/>
  <c r="E121" i="28"/>
  <c r="L121" i="28" s="1"/>
  <c r="E117" i="31"/>
  <c r="E117" i="28"/>
  <c r="L117" i="28" s="1"/>
  <c r="E113" i="31"/>
  <c r="E113" i="28"/>
  <c r="L113" i="28" s="1"/>
  <c r="E109" i="31"/>
  <c r="E109" i="28"/>
  <c r="L109" i="28" s="1"/>
  <c r="E105" i="31"/>
  <c r="E105" i="28"/>
  <c r="L105" i="28" s="1"/>
  <c r="E101" i="31"/>
  <c r="E101" i="28"/>
  <c r="L101" i="28" s="1"/>
  <c r="E97" i="31"/>
  <c r="E97" i="28"/>
  <c r="L97" i="28" s="1"/>
  <c r="E93" i="31"/>
  <c r="E93" i="28"/>
  <c r="L93" i="28" s="1"/>
  <c r="E89" i="31"/>
  <c r="E89" i="28"/>
  <c r="L89" i="28" s="1"/>
  <c r="E85" i="31"/>
  <c r="E85" i="28"/>
  <c r="L85" i="28" s="1"/>
  <c r="E81" i="31"/>
  <c r="E81" i="28"/>
  <c r="L81" i="28" s="1"/>
  <c r="E77" i="31"/>
  <c r="E77" i="28"/>
  <c r="L77" i="28" s="1"/>
  <c r="E120" i="31"/>
  <c r="E120" i="28"/>
  <c r="L120" i="28" s="1"/>
  <c r="E116" i="31"/>
  <c r="E116" i="28"/>
  <c r="L116" i="28" s="1"/>
  <c r="E112" i="31"/>
  <c r="E112" i="28"/>
  <c r="L112" i="28" s="1"/>
  <c r="E108" i="31"/>
  <c r="E108" i="28"/>
  <c r="L108" i="28" s="1"/>
  <c r="E104" i="31"/>
  <c r="E104" i="28"/>
  <c r="L104" i="28" s="1"/>
  <c r="E100" i="31"/>
  <c r="E100" i="28"/>
  <c r="L100" i="28" s="1"/>
  <c r="E96" i="31"/>
  <c r="E96" i="28"/>
  <c r="L96" i="28" s="1"/>
  <c r="E92" i="31"/>
  <c r="E92" i="28"/>
  <c r="L92" i="28" s="1"/>
  <c r="E88" i="31"/>
  <c r="E88" i="28"/>
  <c r="L88" i="28" s="1"/>
  <c r="E84" i="31"/>
  <c r="E84" i="28"/>
  <c r="L84" i="28" s="1"/>
  <c r="E80" i="31"/>
  <c r="E80" i="28"/>
  <c r="L80" i="28" s="1"/>
  <c r="E76" i="31"/>
  <c r="E76" i="28"/>
  <c r="L76" i="28" s="1"/>
  <c r="E119" i="31"/>
  <c r="E119" i="28"/>
  <c r="L119" i="28" s="1"/>
  <c r="E111" i="31"/>
  <c r="E111" i="28"/>
  <c r="L111" i="28" s="1"/>
  <c r="E107" i="31"/>
  <c r="E107" i="28"/>
  <c r="L107" i="28" s="1"/>
  <c r="E103" i="31"/>
  <c r="E103" i="28"/>
  <c r="L103" i="28" s="1"/>
  <c r="E99" i="31"/>
  <c r="E99" i="28"/>
  <c r="L99" i="28" s="1"/>
  <c r="E95" i="31"/>
  <c r="E95" i="28"/>
  <c r="L95" i="28" s="1"/>
  <c r="E91" i="31"/>
  <c r="E91" i="28"/>
  <c r="L91" i="28" s="1"/>
  <c r="E87" i="31"/>
  <c r="E87" i="28"/>
  <c r="L87" i="28" s="1"/>
  <c r="E83" i="31"/>
  <c r="E83" i="28"/>
  <c r="L83" i="28" s="1"/>
  <c r="E79" i="31"/>
  <c r="E79" i="28"/>
  <c r="L79" i="28" s="1"/>
  <c r="E75" i="31"/>
  <c r="E75" i="28"/>
  <c r="E141" i="24"/>
  <c r="G141" i="24" s="1"/>
  <c r="E142" i="24"/>
  <c r="G142" i="24" s="1"/>
  <c r="E143" i="24"/>
  <c r="G143" i="24" s="1"/>
  <c r="E144" i="24"/>
  <c r="G144" i="24" s="1"/>
  <c r="E145" i="24"/>
  <c r="G145" i="24" s="1"/>
  <c r="E146" i="24"/>
  <c r="G146" i="24" s="1"/>
  <c r="E147" i="24"/>
  <c r="G147" i="24" s="1"/>
  <c r="E148" i="24"/>
  <c r="G148" i="24" s="1"/>
  <c r="E149" i="24"/>
  <c r="G149" i="24" s="1"/>
  <c r="E150" i="24"/>
  <c r="G150" i="24" s="1"/>
  <c r="E151" i="24"/>
  <c r="G151" i="24" s="1"/>
  <c r="E152" i="24"/>
  <c r="G152" i="24" s="1"/>
  <c r="E74" i="31" l="1"/>
  <c r="E74" i="28"/>
  <c r="E66" i="31"/>
  <c r="E66" i="28"/>
  <c r="L66" i="28" s="1"/>
  <c r="E70" i="31"/>
  <c r="E70" i="28"/>
  <c r="L70" i="28" s="1"/>
  <c r="E73" i="31"/>
  <c r="E73" i="28"/>
  <c r="L73" i="28" s="1"/>
  <c r="E69" i="31"/>
  <c r="E69" i="28"/>
  <c r="L69" i="28" s="1"/>
  <c r="E65" i="31"/>
  <c r="E65" i="28"/>
  <c r="L65" i="28" s="1"/>
  <c r="E68" i="31"/>
  <c r="E68" i="28"/>
  <c r="L68" i="28" s="1"/>
  <c r="E72" i="31"/>
  <c r="E72" i="28"/>
  <c r="L72" i="28" s="1"/>
  <c r="E64" i="31"/>
  <c r="E64" i="28"/>
  <c r="L64" i="28" s="1"/>
  <c r="E71" i="31"/>
  <c r="E71" i="28"/>
  <c r="L71" i="28" s="1"/>
  <c r="E67" i="31"/>
  <c r="E67" i="28"/>
  <c r="L67" i="28" s="1"/>
  <c r="E63" i="31"/>
  <c r="E63" i="28"/>
  <c r="L63" i="28" s="1"/>
  <c r="C12" i="17"/>
  <c r="C11" i="17"/>
  <c r="C10" i="17"/>
  <c r="C9" i="17"/>
  <c r="C8" i="17"/>
  <c r="C7" i="17"/>
  <c r="C6" i="17"/>
  <c r="C5" i="17"/>
  <c r="C4" i="17"/>
  <c r="C3" i="17"/>
  <c r="B12" i="17"/>
  <c r="B11" i="17"/>
  <c r="B10" i="17"/>
  <c r="B9" i="17"/>
  <c r="B8" i="17"/>
  <c r="B7" i="17"/>
  <c r="B6" i="17"/>
  <c r="B5" i="17"/>
  <c r="B4" i="17"/>
  <c r="B3" i="17"/>
  <c r="I301" i="29" l="1"/>
  <c r="I284" i="29"/>
  <c r="I267" i="29"/>
  <c r="I250" i="29"/>
  <c r="J215" i="29"/>
  <c r="I232" i="29" s="1"/>
  <c r="O203" i="29"/>
  <c r="M198" i="29"/>
  <c r="O198" i="29" s="1"/>
  <c r="Q198" i="29" s="1"/>
  <c r="S198" i="29" s="1"/>
  <c r="L198" i="29"/>
  <c r="N198" i="29" s="1"/>
  <c r="P198" i="29" s="1"/>
  <c r="R198" i="29" s="1"/>
  <c r="Q203" i="29" l="1"/>
  <c r="S203" i="29"/>
  <c r="B185" i="29" l="1"/>
  <c r="B186" i="29"/>
  <c r="B187" i="29"/>
  <c r="B188" i="29"/>
  <c r="B189" i="29"/>
  <c r="B190" i="29"/>
  <c r="B191" i="29"/>
  <c r="B192" i="29"/>
  <c r="B193" i="29"/>
  <c r="A185" i="29"/>
  <c r="A186" i="29"/>
  <c r="A187" i="29"/>
  <c r="A188" i="29"/>
  <c r="A189" i="29"/>
  <c r="A190" i="29"/>
  <c r="A191" i="29"/>
  <c r="A192" i="29"/>
  <c r="A193" i="29"/>
  <c r="A184" i="29"/>
  <c r="E166" i="29"/>
  <c r="H202" i="29" s="1"/>
  <c r="F166" i="29"/>
  <c r="H203" i="29" s="1"/>
  <c r="C132" i="29"/>
  <c r="C133" i="29" s="1"/>
  <c r="B131" i="29"/>
  <c r="B133" i="29" s="1"/>
  <c r="C140" i="29"/>
  <c r="C141" i="29" s="1"/>
  <c r="B139" i="29"/>
  <c r="B142" i="29" s="1"/>
  <c r="C148" i="29"/>
  <c r="C149" i="29" s="1"/>
  <c r="B147" i="29"/>
  <c r="B149" i="29" s="1"/>
  <c r="B100" i="29"/>
  <c r="B97" i="29"/>
  <c r="A97" i="29"/>
  <c r="B134" i="29" l="1"/>
  <c r="B141" i="29"/>
  <c r="B155" i="29"/>
  <c r="D155" i="29"/>
  <c r="C125" i="29"/>
  <c r="C155" i="29"/>
  <c r="B124" i="29"/>
  <c r="C147" i="29"/>
  <c r="B150" i="29"/>
  <c r="C139" i="29"/>
  <c r="C131" i="29"/>
  <c r="C134" i="29" l="1"/>
  <c r="B160" i="29" s="1"/>
  <c r="B156" i="29"/>
  <c r="C142" i="29"/>
  <c r="C160" i="29" s="1"/>
  <c r="C156" i="29"/>
  <c r="C150" i="29"/>
  <c r="D160" i="29" s="1"/>
  <c r="D156" i="29"/>
  <c r="B94" i="29" l="1"/>
  <c r="B93" i="29"/>
  <c r="B92" i="29"/>
  <c r="G42" i="29"/>
  <c r="E84" i="29"/>
  <c r="Z9" i="27"/>
  <c r="Z10" i="27"/>
  <c r="Z11" i="27"/>
  <c r="Z12" i="27"/>
  <c r="Z13" i="27"/>
  <c r="Z14" i="27"/>
  <c r="Z15" i="27"/>
  <c r="Z16" i="27"/>
  <c r="Z17" i="27"/>
  <c r="Z18" i="27"/>
  <c r="Z19" i="27"/>
  <c r="Z8" i="27"/>
  <c r="Y9" i="27"/>
  <c r="Y10" i="27"/>
  <c r="Y11" i="27"/>
  <c r="Y12" i="27"/>
  <c r="Y13" i="27"/>
  <c r="Y14" i="27"/>
  <c r="Y15" i="27"/>
  <c r="Y16" i="27"/>
  <c r="Y17" i="27"/>
  <c r="Y18" i="27"/>
  <c r="Y19" i="27"/>
  <c r="Y8" i="27"/>
  <c r="X9" i="27"/>
  <c r="X10" i="27"/>
  <c r="X11" i="27"/>
  <c r="X12" i="27"/>
  <c r="X13" i="27"/>
  <c r="X14" i="27"/>
  <c r="X15" i="27"/>
  <c r="X16" i="27"/>
  <c r="X17" i="27"/>
  <c r="X18" i="27"/>
  <c r="X19" i="27"/>
  <c r="X8" i="27"/>
  <c r="W9" i="27"/>
  <c r="W10" i="27"/>
  <c r="W11" i="27"/>
  <c r="W12" i="27"/>
  <c r="W13" i="27"/>
  <c r="W14" i="27"/>
  <c r="W15" i="27"/>
  <c r="W16" i="27"/>
  <c r="W17" i="27"/>
  <c r="W18" i="27"/>
  <c r="W19" i="27"/>
  <c r="V9" i="27"/>
  <c r="V10" i="27"/>
  <c r="V11" i="27"/>
  <c r="V12" i="27"/>
  <c r="V13" i="27"/>
  <c r="V14" i="27"/>
  <c r="V15" i="27"/>
  <c r="V16" i="27"/>
  <c r="V17" i="27"/>
  <c r="V18" i="27"/>
  <c r="V8" i="27"/>
  <c r="C193" i="29"/>
  <c r="C192" i="29"/>
  <c r="C191" i="29"/>
  <c r="C190" i="29"/>
  <c r="C189" i="29"/>
  <c r="C188" i="29"/>
  <c r="C187" i="29"/>
  <c r="C186" i="29"/>
  <c r="C185" i="29"/>
  <c r="C184" i="29"/>
  <c r="B184" i="29"/>
  <c r="F51" i="29"/>
  <c r="M301" i="29"/>
  <c r="Q301" i="29" s="1"/>
  <c r="N300" i="29"/>
  <c r="L301" i="29"/>
  <c r="P301" i="29" s="1"/>
  <c r="M284" i="29"/>
  <c r="O284" i="29" s="1"/>
  <c r="S284" i="29" s="1"/>
  <c r="L284" i="29"/>
  <c r="M267" i="29"/>
  <c r="L267" i="29"/>
  <c r="M250" i="29"/>
  <c r="L250" i="29"/>
  <c r="N250" i="29" s="1"/>
  <c r="R250" i="29" s="1"/>
  <c r="M232" i="29"/>
  <c r="L232" i="29"/>
  <c r="K220" i="29"/>
  <c r="K227" i="29" s="1"/>
  <c r="K237" i="29" s="1"/>
  <c r="K244" i="29" s="1"/>
  <c r="K255" i="29" s="1"/>
  <c r="K262" i="29" s="1"/>
  <c r="K272" i="29" s="1"/>
  <c r="K279" i="29" s="1"/>
  <c r="K289" i="29" s="1"/>
  <c r="K296" i="29" s="1"/>
  <c r="K306" i="29" s="1"/>
  <c r="K313" i="29" s="1"/>
  <c r="K219" i="29"/>
  <c r="K226" i="29" s="1"/>
  <c r="K236" i="29" s="1"/>
  <c r="K243" i="29" s="1"/>
  <c r="K254" i="29" s="1"/>
  <c r="K261" i="29" s="1"/>
  <c r="K271" i="29" s="1"/>
  <c r="K278" i="29" s="1"/>
  <c r="K288" i="29" s="1"/>
  <c r="K295" i="29" s="1"/>
  <c r="K305" i="29" s="1"/>
  <c r="K312" i="29" s="1"/>
  <c r="K218" i="29"/>
  <c r="K225" i="29" s="1"/>
  <c r="K235" i="29" s="1"/>
  <c r="K242" i="29" s="1"/>
  <c r="K253" i="29" s="1"/>
  <c r="K260" i="29" s="1"/>
  <c r="K270" i="29" s="1"/>
  <c r="K277" i="29" s="1"/>
  <c r="K287" i="29" s="1"/>
  <c r="K294" i="29" s="1"/>
  <c r="K304" i="29" s="1"/>
  <c r="K311" i="29" s="1"/>
  <c r="K217" i="29"/>
  <c r="K224" i="29" s="1"/>
  <c r="K234" i="29" s="1"/>
  <c r="K241" i="29" s="1"/>
  <c r="K252" i="29" s="1"/>
  <c r="K259" i="29" s="1"/>
  <c r="K269" i="29" s="1"/>
  <c r="K276" i="29" s="1"/>
  <c r="K286" i="29" s="1"/>
  <c r="K293" i="29" s="1"/>
  <c r="K303" i="29" s="1"/>
  <c r="K310" i="29" s="1"/>
  <c r="K216" i="29"/>
  <c r="K223" i="29" s="1"/>
  <c r="K233" i="29" s="1"/>
  <c r="K240" i="29" s="1"/>
  <c r="K251" i="29" s="1"/>
  <c r="K258" i="29" s="1"/>
  <c r="K268" i="29" s="1"/>
  <c r="K275" i="29" s="1"/>
  <c r="K285" i="29" s="1"/>
  <c r="K292" i="29" s="1"/>
  <c r="K302" i="29" s="1"/>
  <c r="K309" i="29" s="1"/>
  <c r="M215" i="29"/>
  <c r="L215" i="29"/>
  <c r="H197" i="29"/>
  <c r="H214" i="29" s="1"/>
  <c r="H231" i="29" s="1"/>
  <c r="H249" i="29" s="1"/>
  <c r="H266" i="29" s="1"/>
  <c r="H283" i="29" s="1"/>
  <c r="H300" i="29" s="1"/>
  <c r="G181" i="29"/>
  <c r="A75" i="29"/>
  <c r="A74" i="29"/>
  <c r="A73" i="29"/>
  <c r="A72" i="29"/>
  <c r="A71" i="29"/>
  <c r="A70" i="29"/>
  <c r="A69" i="29"/>
  <c r="A68" i="29"/>
  <c r="A67" i="29"/>
  <c r="A66" i="29"/>
  <c r="G51" i="29"/>
  <c r="E51" i="29"/>
  <c r="C181" i="29" s="1"/>
  <c r="A51" i="29"/>
  <c r="A47" i="29"/>
  <c r="A89" i="29" s="1"/>
  <c r="A117" i="29" s="1"/>
  <c r="A156" i="29" s="1"/>
  <c r="A46" i="29"/>
  <c r="A63" i="29" s="1"/>
  <c r="A42" i="29"/>
  <c r="A84" i="29" s="1"/>
  <c r="A33" i="29"/>
  <c r="A32" i="29"/>
  <c r="A44" i="29" s="1"/>
  <c r="A86" i="29" s="1"/>
  <c r="A31" i="29"/>
  <c r="A43" i="29" s="1"/>
  <c r="A85" i="29" s="1"/>
  <c r="A30" i="29"/>
  <c r="A58" i="29" s="1"/>
  <c r="A29" i="29"/>
  <c r="A40" i="29" s="1"/>
  <c r="A82" i="29" s="1"/>
  <c r="A28" i="29"/>
  <c r="A56" i="29" s="1"/>
  <c r="A27" i="29"/>
  <c r="A55" i="29" s="1"/>
  <c r="A26" i="29"/>
  <c r="A37" i="29" s="1"/>
  <c r="A79" i="29" s="1"/>
  <c r="A25" i="29"/>
  <c r="A36" i="29" s="1"/>
  <c r="A78" i="29" s="1"/>
  <c r="A24" i="29"/>
  <c r="X21" i="27" l="1"/>
  <c r="Y21" i="27"/>
  <c r="Z21" i="27"/>
  <c r="B84" i="29"/>
  <c r="C84" i="29"/>
  <c r="F84" i="29"/>
  <c r="Q284" i="29"/>
  <c r="Q199" i="29"/>
  <c r="D84" i="29"/>
  <c r="G59" i="29"/>
  <c r="Q202" i="29"/>
  <c r="D191" i="29"/>
  <c r="A64" i="29"/>
  <c r="A60" i="29"/>
  <c r="A61" i="29"/>
  <c r="P232" i="29"/>
  <c r="N232" i="29"/>
  <c r="R232" i="29" s="1"/>
  <c r="Q250" i="29"/>
  <c r="O250" i="29"/>
  <c r="S250" i="29" s="1"/>
  <c r="O215" i="29"/>
  <c r="S215" i="29" s="1"/>
  <c r="Q215" i="29"/>
  <c r="O201" i="29"/>
  <c r="D193" i="29"/>
  <c r="A39" i="29"/>
  <c r="A81" i="29" s="1"/>
  <c r="A38" i="29"/>
  <c r="A80" i="29" s="1"/>
  <c r="O301" i="29"/>
  <c r="S301" i="29" s="1"/>
  <c r="D184" i="29"/>
  <c r="D186" i="29"/>
  <c r="A169" i="29"/>
  <c r="A172" i="29" s="1"/>
  <c r="A175" i="29" s="1"/>
  <c r="A178" i="29" s="1"/>
  <c r="A57" i="29"/>
  <c r="D189" i="29"/>
  <c r="A52" i="29"/>
  <c r="A35" i="29"/>
  <c r="A77" i="29" s="1"/>
  <c r="A45" i="29"/>
  <c r="A87" i="29" s="1"/>
  <c r="A62" i="29"/>
  <c r="A88" i="29"/>
  <c r="A116" i="29" s="1"/>
  <c r="A155" i="29" s="1"/>
  <c r="A53" i="29"/>
  <c r="F181" i="29"/>
  <c r="D192" i="29"/>
  <c r="A54" i="29"/>
  <c r="D185" i="29"/>
  <c r="O199" i="29"/>
  <c r="A41" i="29"/>
  <c r="A83" i="29" s="1"/>
  <c r="A59" i="29"/>
  <c r="B127" i="29"/>
  <c r="C124" i="29"/>
  <c r="B126" i="29"/>
  <c r="C126" i="29"/>
  <c r="D188" i="29"/>
  <c r="D190" i="29"/>
  <c r="D187" i="29"/>
  <c r="Q267" i="29"/>
  <c r="O267" i="29"/>
  <c r="S267" i="29" s="1"/>
  <c r="O202" i="29"/>
  <c r="N215" i="29"/>
  <c r="R215" i="29" s="1"/>
  <c r="P215" i="29"/>
  <c r="O232" i="29"/>
  <c r="S232" i="29" s="1"/>
  <c r="Q232" i="29"/>
  <c r="P284" i="29"/>
  <c r="N284" i="29"/>
  <c r="R284" i="29" s="1"/>
  <c r="N267" i="29"/>
  <c r="R267" i="29" s="1"/>
  <c r="P267" i="29"/>
  <c r="P250" i="29"/>
  <c r="N301" i="29"/>
  <c r="R301" i="29" s="1"/>
  <c r="S201" i="29" l="1"/>
  <c r="Q201" i="29"/>
  <c r="H209" i="29"/>
  <c r="H219" i="29"/>
  <c r="S202" i="29"/>
  <c r="S199" i="29"/>
  <c r="C127" i="29"/>
  <c r="H210" i="29"/>
  <c r="H220" i="29"/>
  <c r="A168" i="29"/>
  <c r="A171" i="29" s="1"/>
  <c r="A174" i="29" s="1"/>
  <c r="A177" i="29" s="1"/>
  <c r="P313" i="29"/>
  <c r="J204" i="29"/>
  <c r="O200" i="29"/>
  <c r="Q200" i="29"/>
  <c r="D174" i="29"/>
  <c r="C174" i="29"/>
  <c r="P296" i="29"/>
  <c r="R313" i="29" l="1"/>
  <c r="E160" i="29"/>
  <c r="H226" i="29"/>
  <c r="H236" i="29"/>
  <c r="D175" i="29"/>
  <c r="S200" i="29"/>
  <c r="H237" i="29"/>
  <c r="H227" i="29"/>
  <c r="B174" i="29"/>
  <c r="G174" i="29" s="1"/>
  <c r="E155" i="29"/>
  <c r="C175" i="29"/>
  <c r="H243" i="29" l="1"/>
  <c r="H254" i="29"/>
  <c r="H244" i="29"/>
  <c r="H255" i="29"/>
  <c r="E156" i="29"/>
  <c r="B175" i="29"/>
  <c r="H271" i="29" l="1"/>
  <c r="H261" i="29"/>
  <c r="G175" i="29"/>
  <c r="H272" i="29"/>
  <c r="H262" i="29"/>
  <c r="R296" i="29"/>
  <c r="H278" i="29" l="1"/>
  <c r="H288" i="29"/>
  <c r="H289" i="29"/>
  <c r="H279" i="29"/>
  <c r="H305" i="29" l="1"/>
  <c r="H312" i="29" s="1"/>
  <c r="H295" i="29"/>
  <c r="H306" i="29"/>
  <c r="H313" i="29" s="1"/>
  <c r="H296" i="29"/>
  <c r="G68" i="9" l="1"/>
  <c r="G67" i="9"/>
  <c r="I71" i="9" l="1"/>
  <c r="J71" i="9"/>
  <c r="I72" i="9"/>
  <c r="J72" i="9"/>
  <c r="C75" i="28" l="1"/>
  <c r="L75" i="28" s="1"/>
  <c r="C74" i="28"/>
  <c r="L74" i="28" s="1"/>
  <c r="W8" i="27" l="1"/>
  <c r="W21" i="27" s="1"/>
  <c r="V19" i="27"/>
  <c r="V21" i="27" s="1"/>
  <c r="H37" i="11"/>
  <c r="K32" i="11"/>
  <c r="J32" i="11"/>
  <c r="I32" i="11"/>
  <c r="H32" i="11"/>
  <c r="G32" i="11"/>
  <c r="K31" i="11"/>
  <c r="H31" i="11"/>
  <c r="I31" i="11"/>
  <c r="J31" i="11"/>
  <c r="G31" i="11"/>
  <c r="F57" i="29" s="1"/>
  <c r="K28" i="11"/>
  <c r="M271" i="29" s="1"/>
  <c r="J28" i="11"/>
  <c r="M254" i="29" s="1"/>
  <c r="I28" i="11"/>
  <c r="M236" i="29" s="1"/>
  <c r="H28" i="11"/>
  <c r="L202" i="29" s="1"/>
  <c r="G28" i="11"/>
  <c r="L219" i="29" s="1"/>
  <c r="H27" i="11"/>
  <c r="E30" i="29" s="1"/>
  <c r="I27" i="11"/>
  <c r="E31" i="29" s="1"/>
  <c r="J27" i="11"/>
  <c r="E32" i="29" s="1"/>
  <c r="K27" i="11"/>
  <c r="E33" i="29" s="1"/>
  <c r="G27" i="11"/>
  <c r="E29" i="29" s="1"/>
  <c r="I26" i="11"/>
  <c r="J26" i="11"/>
  <c r="K26" i="11"/>
  <c r="H26" i="11"/>
  <c r="G26" i="11"/>
  <c r="E57" i="29" s="1"/>
  <c r="H23" i="11"/>
  <c r="L201" i="29" s="1"/>
  <c r="I23" i="11"/>
  <c r="M235" i="29" s="1"/>
  <c r="J23" i="11"/>
  <c r="M253" i="29" s="1"/>
  <c r="K23" i="11"/>
  <c r="M270" i="29" s="1"/>
  <c r="G23" i="11"/>
  <c r="L218" i="29" s="1"/>
  <c r="H22" i="11"/>
  <c r="D30" i="29" s="1"/>
  <c r="I22" i="11"/>
  <c r="D31" i="29" s="1"/>
  <c r="J22" i="11"/>
  <c r="D32" i="29" s="1"/>
  <c r="K22" i="11"/>
  <c r="D33" i="29" s="1"/>
  <c r="G22" i="11"/>
  <c r="D29" i="29" s="1"/>
  <c r="K18" i="11"/>
  <c r="H18" i="11"/>
  <c r="I18" i="11"/>
  <c r="J18" i="11"/>
  <c r="G18" i="11"/>
  <c r="J17" i="11"/>
  <c r="C61" i="29" s="1"/>
  <c r="K17" i="11"/>
  <c r="I17" i="11"/>
  <c r="H17" i="11"/>
  <c r="G17" i="11"/>
  <c r="H14" i="11"/>
  <c r="I14" i="11"/>
  <c r="J14" i="11"/>
  <c r="K14" i="11"/>
  <c r="G14" i="11"/>
  <c r="I13" i="11"/>
  <c r="J13" i="11"/>
  <c r="B61" i="29" s="1"/>
  <c r="K13" i="11"/>
  <c r="H13" i="11"/>
  <c r="G13" i="11"/>
  <c r="G71" i="9"/>
  <c r="L8" i="11" s="1"/>
  <c r="G72" i="9"/>
  <c r="M8" i="11" s="1"/>
  <c r="H72" i="9"/>
  <c r="H71" i="9"/>
  <c r="K32" i="9"/>
  <c r="K33" i="9" s="1"/>
  <c r="L23" i="9"/>
  <c r="L24" i="9"/>
  <c r="L37" i="9" s="1"/>
  <c r="L25" i="9"/>
  <c r="L38" i="9" s="1"/>
  <c r="L26" i="9"/>
  <c r="L27" i="9"/>
  <c r="L28" i="9"/>
  <c r="L29" i="9"/>
  <c r="L42" i="9" s="1"/>
  <c r="L30" i="9"/>
  <c r="L43" i="9" s="1"/>
  <c r="L31" i="9"/>
  <c r="L32" i="9" s="1"/>
  <c r="L33" i="9" s="1"/>
  <c r="K23" i="9"/>
  <c r="K24" i="9"/>
  <c r="K37" i="9" s="1"/>
  <c r="K25" i="9"/>
  <c r="K38" i="9" s="1"/>
  <c r="K26" i="9"/>
  <c r="K27" i="9"/>
  <c r="K28" i="9"/>
  <c r="K41" i="9" s="1"/>
  <c r="K29" i="9"/>
  <c r="K30" i="9"/>
  <c r="K44" i="9" s="1"/>
  <c r="J23" i="9"/>
  <c r="J24" i="9"/>
  <c r="J37" i="9" s="1"/>
  <c r="J25" i="9"/>
  <c r="J26" i="9"/>
  <c r="I24" i="9"/>
  <c r="I25" i="9"/>
  <c r="I26" i="9"/>
  <c r="I27" i="9"/>
  <c r="I28" i="9"/>
  <c r="I41" i="9" s="1"/>
  <c r="I29" i="9"/>
  <c r="I30" i="9"/>
  <c r="I31" i="9"/>
  <c r="I32" i="9" s="1"/>
  <c r="I33" i="9" s="1"/>
  <c r="H23" i="9"/>
  <c r="H24" i="9"/>
  <c r="H25" i="9"/>
  <c r="H26" i="9"/>
  <c r="H27" i="9"/>
  <c r="H28" i="9"/>
  <c r="H29" i="9"/>
  <c r="H30" i="9"/>
  <c r="H31" i="9"/>
  <c r="C21" i="18"/>
  <c r="C22" i="18"/>
  <c r="C23" i="18"/>
  <c r="C24" i="18"/>
  <c r="C25" i="18"/>
  <c r="C27" i="18" s="1"/>
  <c r="C20" i="18"/>
  <c r="B21" i="18"/>
  <c r="B22" i="18"/>
  <c r="B23" i="18"/>
  <c r="B24" i="18"/>
  <c r="B25" i="18"/>
  <c r="C13" i="17"/>
  <c r="C14" i="17" s="1"/>
  <c r="E13" i="17"/>
  <c r="E14" i="17" s="1"/>
  <c r="F13" i="17"/>
  <c r="F14" i="17" s="1"/>
  <c r="F30" i="17"/>
  <c r="C18" i="17"/>
  <c r="D18" i="17"/>
  <c r="E18" i="17"/>
  <c r="F18" i="17"/>
  <c r="C19" i="17"/>
  <c r="D19" i="17"/>
  <c r="E19" i="17"/>
  <c r="F19" i="17"/>
  <c r="C20" i="17"/>
  <c r="D20" i="17"/>
  <c r="E20" i="17"/>
  <c r="F20" i="17"/>
  <c r="C21" i="17"/>
  <c r="D21" i="17"/>
  <c r="E21" i="17"/>
  <c r="F21" i="17"/>
  <c r="E22" i="17"/>
  <c r="F22" i="17"/>
  <c r="E23" i="17"/>
  <c r="F23" i="17"/>
  <c r="E24" i="17"/>
  <c r="F24" i="17"/>
  <c r="E25" i="17"/>
  <c r="F25" i="17"/>
  <c r="E26" i="17"/>
  <c r="F26" i="17"/>
  <c r="B19" i="17"/>
  <c r="B20" i="17"/>
  <c r="B21" i="17"/>
  <c r="A3" i="9"/>
  <c r="A4" i="9"/>
  <c r="A23" i="9" s="1"/>
  <c r="A5" i="9"/>
  <c r="A24" i="9" s="1"/>
  <c r="A6" i="9"/>
  <c r="A25" i="9" s="1"/>
  <c r="A7" i="9"/>
  <c r="A26" i="9" s="1"/>
  <c r="A8" i="9"/>
  <c r="A27" i="9" s="1"/>
  <c r="A9" i="9"/>
  <c r="A28" i="9" s="1"/>
  <c r="A10" i="9"/>
  <c r="A29" i="9" s="1"/>
  <c r="A11" i="9"/>
  <c r="A30" i="9" s="1"/>
  <c r="A12" i="9"/>
  <c r="A31" i="9" s="1"/>
  <c r="A13" i="9"/>
  <c r="A14" i="9"/>
  <c r="M251" i="29" l="1"/>
  <c r="B32" i="29"/>
  <c r="L217" i="29"/>
  <c r="C29" i="29"/>
  <c r="M269" i="29"/>
  <c r="C33" i="29"/>
  <c r="L287" i="29"/>
  <c r="J236" i="29"/>
  <c r="I254" i="29" s="1"/>
  <c r="E60" i="29"/>
  <c r="L254" i="29"/>
  <c r="L220" i="29"/>
  <c r="F29" i="29"/>
  <c r="F71" i="29" s="1"/>
  <c r="M272" i="29"/>
  <c r="L289" i="29" s="1"/>
  <c r="F33" i="29"/>
  <c r="G36" i="11"/>
  <c r="I38" i="9"/>
  <c r="J38" i="9"/>
  <c r="K42" i="9"/>
  <c r="L39" i="9"/>
  <c r="M233" i="29"/>
  <c r="L251" i="29" s="1"/>
  <c r="B31" i="29"/>
  <c r="M252" i="29"/>
  <c r="C32" i="29"/>
  <c r="L270" i="29"/>
  <c r="I219" i="29"/>
  <c r="I202" i="29"/>
  <c r="E58" i="29"/>
  <c r="E71" i="29"/>
  <c r="E72" i="29"/>
  <c r="L271" i="29"/>
  <c r="J237" i="29"/>
  <c r="I255" i="29" s="1"/>
  <c r="F60" i="29"/>
  <c r="L203" i="29"/>
  <c r="F30" i="29"/>
  <c r="J36" i="11"/>
  <c r="K37" i="11"/>
  <c r="G37" i="11"/>
  <c r="E73" i="29"/>
  <c r="J255" i="29"/>
  <c r="F61" i="29"/>
  <c r="L216" i="29"/>
  <c r="B29" i="29"/>
  <c r="G29" i="29" s="1"/>
  <c r="L199" i="29"/>
  <c r="B30" i="29"/>
  <c r="M234" i="29"/>
  <c r="C31" i="29"/>
  <c r="L253" i="29"/>
  <c r="J271" i="29"/>
  <c r="I288" i="29" s="1"/>
  <c r="E62" i="29"/>
  <c r="E75" i="29"/>
  <c r="P219" i="29"/>
  <c r="Q271" i="29"/>
  <c r="L288" i="29"/>
  <c r="I203" i="29"/>
  <c r="F58" i="29"/>
  <c r="M237" i="29"/>
  <c r="F31" i="29"/>
  <c r="F73" i="29" s="1"/>
  <c r="I36" i="11"/>
  <c r="J37" i="11"/>
  <c r="H43" i="9"/>
  <c r="K40" i="9"/>
  <c r="L41" i="9"/>
  <c r="M268" i="29"/>
  <c r="B33" i="29"/>
  <c r="G33" i="29" s="1"/>
  <c r="L200" i="29"/>
  <c r="C30" i="29"/>
  <c r="M218" i="29"/>
  <c r="L208" i="29"/>
  <c r="J254" i="29"/>
  <c r="I271" i="29" s="1"/>
  <c r="I278" i="29" s="1"/>
  <c r="E61" i="29"/>
  <c r="E74" i="29" s="1"/>
  <c r="M219" i="29"/>
  <c r="L209" i="29"/>
  <c r="P202" i="29"/>
  <c r="P209" i="29" s="1"/>
  <c r="J272" i="29"/>
  <c r="F62" i="29"/>
  <c r="M255" i="29"/>
  <c r="F32" i="29"/>
  <c r="F74" i="29" s="1"/>
  <c r="H36" i="11"/>
  <c r="I37" i="11"/>
  <c r="J269" i="29"/>
  <c r="C62" i="29"/>
  <c r="C74" i="29"/>
  <c r="J234" i="29"/>
  <c r="J252" i="29"/>
  <c r="C60" i="29"/>
  <c r="I200" i="29"/>
  <c r="C58" i="29"/>
  <c r="I42" i="9"/>
  <c r="I217" i="29"/>
  <c r="C57" i="29"/>
  <c r="I40" i="9"/>
  <c r="J268" i="29"/>
  <c r="B62" i="29"/>
  <c r="B74" i="29"/>
  <c r="H44" i="9"/>
  <c r="J233" i="29"/>
  <c r="J251" i="29"/>
  <c r="B60" i="29"/>
  <c r="I199" i="29"/>
  <c r="B58" i="29"/>
  <c r="I216" i="29"/>
  <c r="B57" i="29"/>
  <c r="H40" i="9"/>
  <c r="H39" i="9"/>
  <c r="M72" i="9"/>
  <c r="M71" i="9"/>
  <c r="K36" i="11"/>
  <c r="J39" i="9"/>
  <c r="L44" i="9"/>
  <c r="L40" i="9"/>
  <c r="K43" i="9"/>
  <c r="K39" i="9"/>
  <c r="H42" i="9"/>
  <c r="H38" i="9"/>
  <c r="H32" i="9"/>
  <c r="H41" i="9"/>
  <c r="H37" i="9"/>
  <c r="I44" i="9"/>
  <c r="I43" i="9"/>
  <c r="I39" i="9"/>
  <c r="C124" i="28"/>
  <c r="C125" i="28"/>
  <c r="C126" i="28"/>
  <c r="C127" i="28"/>
  <c r="C128" i="28"/>
  <c r="C129" i="28"/>
  <c r="C130" i="28"/>
  <c r="C131" i="28"/>
  <c r="C132" i="28"/>
  <c r="C133" i="28"/>
  <c r="C134" i="28"/>
  <c r="C123" i="28"/>
  <c r="B159" i="28"/>
  <c r="B115" i="29" s="1"/>
  <c r="B158" i="28"/>
  <c r="B114" i="29" s="1"/>
  <c r="B157" i="28"/>
  <c r="B113" i="29" s="1"/>
  <c r="B156" i="28"/>
  <c r="B112" i="29" s="1"/>
  <c r="B155" i="28"/>
  <c r="B111" i="29" s="1"/>
  <c r="M87" i="28"/>
  <c r="N87" i="28" s="1"/>
  <c r="M88" i="28"/>
  <c r="N88" i="28" s="1"/>
  <c r="M89" i="28"/>
  <c r="N89" i="28" s="1"/>
  <c r="M90" i="28"/>
  <c r="N90" i="28" s="1"/>
  <c r="M91" i="28"/>
  <c r="N91" i="28" s="1"/>
  <c r="M92" i="28"/>
  <c r="N92" i="28" s="1"/>
  <c r="M93" i="28"/>
  <c r="N93" i="28" s="1"/>
  <c r="M94" i="28"/>
  <c r="N94" i="28" s="1"/>
  <c r="M95" i="28"/>
  <c r="N95" i="28" s="1"/>
  <c r="M96" i="28"/>
  <c r="N96" i="28" s="1"/>
  <c r="M97" i="28"/>
  <c r="N97" i="28" s="1"/>
  <c r="M98" i="28"/>
  <c r="N98" i="28" s="1"/>
  <c r="M99" i="28"/>
  <c r="N99" i="28" s="1"/>
  <c r="M100" i="28"/>
  <c r="N100" i="28" s="1"/>
  <c r="M101" i="28"/>
  <c r="N101" i="28" s="1"/>
  <c r="M102" i="28"/>
  <c r="N102" i="28" s="1"/>
  <c r="M103" i="28"/>
  <c r="N103" i="28" s="1"/>
  <c r="M104" i="28"/>
  <c r="N104" i="28" s="1"/>
  <c r="M105" i="28"/>
  <c r="N105" i="28" s="1"/>
  <c r="M106" i="28"/>
  <c r="N106" i="28" s="1"/>
  <c r="M107" i="28"/>
  <c r="N107" i="28" s="1"/>
  <c r="M108" i="28"/>
  <c r="N108" i="28" s="1"/>
  <c r="M109" i="28"/>
  <c r="N109" i="28" s="1"/>
  <c r="M110" i="28"/>
  <c r="N110" i="28" s="1"/>
  <c r="M111" i="28"/>
  <c r="N111" i="28" s="1"/>
  <c r="M112" i="28"/>
  <c r="N112" i="28" s="1"/>
  <c r="M113" i="28"/>
  <c r="N113" i="28" s="1"/>
  <c r="M114" i="28"/>
  <c r="N114" i="28" s="1"/>
  <c r="M115" i="28"/>
  <c r="N115" i="28" s="1"/>
  <c r="M116" i="28"/>
  <c r="N116" i="28" s="1"/>
  <c r="M117" i="28"/>
  <c r="N117" i="28" s="1"/>
  <c r="M118" i="28"/>
  <c r="N118" i="28" s="1"/>
  <c r="M119" i="28"/>
  <c r="N119" i="28" s="1"/>
  <c r="M120" i="28"/>
  <c r="N120" i="28" s="1"/>
  <c r="M121" i="28"/>
  <c r="N121" i="28" s="1"/>
  <c r="M122" i="28"/>
  <c r="N122" i="28" s="1"/>
  <c r="M63" i="28"/>
  <c r="N63" i="28" s="1"/>
  <c r="M64" i="28"/>
  <c r="N64" i="28" s="1"/>
  <c r="M65" i="28"/>
  <c r="N65" i="28" s="1"/>
  <c r="M66" i="28"/>
  <c r="N66" i="28" s="1"/>
  <c r="M67" i="28"/>
  <c r="N67" i="28" s="1"/>
  <c r="M68" i="28"/>
  <c r="N68" i="28" s="1"/>
  <c r="M69" i="28"/>
  <c r="N69" i="28" s="1"/>
  <c r="M70" i="28"/>
  <c r="N70" i="28" s="1"/>
  <c r="M71" i="28"/>
  <c r="N71" i="28" s="1"/>
  <c r="M72" i="28"/>
  <c r="N72" i="28" s="1"/>
  <c r="M73" i="28"/>
  <c r="N73" i="28" s="1"/>
  <c r="M74" i="28"/>
  <c r="N74" i="28" s="1"/>
  <c r="M75" i="28"/>
  <c r="N75" i="28" s="1"/>
  <c r="M76" i="28"/>
  <c r="N76" i="28" s="1"/>
  <c r="M77" i="28"/>
  <c r="N77" i="28" s="1"/>
  <c r="M78" i="28"/>
  <c r="N78" i="28" s="1"/>
  <c r="M79" i="28"/>
  <c r="N79" i="28" s="1"/>
  <c r="M80" i="28"/>
  <c r="N80" i="28" s="1"/>
  <c r="M81" i="28"/>
  <c r="N81" i="28" s="1"/>
  <c r="M82" i="28"/>
  <c r="N82" i="28" s="1"/>
  <c r="M83" i="28"/>
  <c r="N83" i="28" s="1"/>
  <c r="M84" i="28"/>
  <c r="N84" i="28" s="1"/>
  <c r="M85" i="28"/>
  <c r="N85" i="28" s="1"/>
  <c r="M86" i="28"/>
  <c r="N86" i="28" s="1"/>
  <c r="B154" i="28"/>
  <c r="B110" i="29" s="1"/>
  <c r="B153" i="28"/>
  <c r="B109" i="29" s="1"/>
  <c r="B152" i="28"/>
  <c r="B108" i="29" s="1"/>
  <c r="B151" i="28"/>
  <c r="B107" i="29" s="1"/>
  <c r="B150" i="28"/>
  <c r="B106" i="29" s="1"/>
  <c r="M230" i="28"/>
  <c r="N230" i="28" s="1"/>
  <c r="O230" i="28" s="1"/>
  <c r="C3" i="31" l="1"/>
  <c r="L123" i="28"/>
  <c r="C11" i="31"/>
  <c r="C23" i="31" s="1"/>
  <c r="L131" i="28"/>
  <c r="C7" i="31"/>
  <c r="L127" i="28"/>
  <c r="I289" i="29"/>
  <c r="L235" i="29"/>
  <c r="L225" i="29"/>
  <c r="M216" i="29"/>
  <c r="L206" i="29"/>
  <c r="I272" i="29"/>
  <c r="I279" i="29" s="1"/>
  <c r="I262" i="29"/>
  <c r="C14" i="31"/>
  <c r="C26" i="31" s="1"/>
  <c r="C38" i="31" s="1"/>
  <c r="L134" i="28"/>
  <c r="C10" i="31"/>
  <c r="C22" i="31" s="1"/>
  <c r="L130" i="28"/>
  <c r="C6" i="31"/>
  <c r="L126" i="28"/>
  <c r="M217" i="29"/>
  <c r="L207" i="29"/>
  <c r="J220" i="29"/>
  <c r="I210" i="29"/>
  <c r="L260" i="29"/>
  <c r="L269" i="29"/>
  <c r="I261" i="29"/>
  <c r="G32" i="29"/>
  <c r="C13" i="31"/>
  <c r="L133" i="28"/>
  <c r="C9" i="31"/>
  <c r="L129" i="28"/>
  <c r="C5" i="31"/>
  <c r="L125" i="28"/>
  <c r="Q255" i="29"/>
  <c r="L272" i="29"/>
  <c r="P288" i="29"/>
  <c r="L252" i="29"/>
  <c r="L259" i="29" s="1"/>
  <c r="F72" i="29"/>
  <c r="L278" i="29"/>
  <c r="P271" i="29"/>
  <c r="P278" i="29" s="1"/>
  <c r="G31" i="29"/>
  <c r="Q236" i="29"/>
  <c r="L277" i="29"/>
  <c r="L276" i="29"/>
  <c r="L286" i="29"/>
  <c r="L268" i="29"/>
  <c r="L258" i="29"/>
  <c r="C12" i="31"/>
  <c r="C24" i="31" s="1"/>
  <c r="L132" i="28"/>
  <c r="C8" i="31"/>
  <c r="L128" i="28"/>
  <c r="C4" i="31"/>
  <c r="L124" i="28"/>
  <c r="L226" i="29"/>
  <c r="L236" i="29"/>
  <c r="L285" i="29"/>
  <c r="L275" i="29"/>
  <c r="L255" i="29"/>
  <c r="L262" i="29" s="1"/>
  <c r="Q237" i="29"/>
  <c r="G30" i="29"/>
  <c r="P203" i="29"/>
  <c r="P210" i="29" s="1"/>
  <c r="M220" i="29"/>
  <c r="L210" i="29"/>
  <c r="Q254" i="29"/>
  <c r="J219" i="29"/>
  <c r="I209" i="29"/>
  <c r="L261" i="29"/>
  <c r="P254" i="29"/>
  <c r="P261" i="29" s="1"/>
  <c r="C145" i="28"/>
  <c r="L145" i="28" s="1"/>
  <c r="C141" i="28"/>
  <c r="L141" i="28" s="1"/>
  <c r="C137" i="28"/>
  <c r="L137" i="28" s="1"/>
  <c r="C135" i="28"/>
  <c r="L135" i="28" s="1"/>
  <c r="C144" i="28"/>
  <c r="L144" i="28" s="1"/>
  <c r="C140" i="28"/>
  <c r="L140" i="28" s="1"/>
  <c r="C136" i="28"/>
  <c r="L136" i="28" s="1"/>
  <c r="C75" i="29"/>
  <c r="Q269" i="29"/>
  <c r="I286" i="29"/>
  <c r="Q252" i="29"/>
  <c r="I269" i="29"/>
  <c r="I252" i="29"/>
  <c r="Q234" i="29"/>
  <c r="C73" i="29"/>
  <c r="C72" i="29"/>
  <c r="J217" i="29"/>
  <c r="I207" i="29"/>
  <c r="P200" i="29"/>
  <c r="P207" i="29" s="1"/>
  <c r="C71" i="29"/>
  <c r="P217" i="29"/>
  <c r="I285" i="29"/>
  <c r="Q268" i="29"/>
  <c r="B75" i="29"/>
  <c r="I268" i="29"/>
  <c r="Q251" i="29"/>
  <c r="I251" i="29"/>
  <c r="Q233" i="29"/>
  <c r="B73" i="29"/>
  <c r="B72" i="29"/>
  <c r="I206" i="29"/>
  <c r="P199" i="29"/>
  <c r="P206" i="29" s="1"/>
  <c r="J216" i="29"/>
  <c r="P216" i="29"/>
  <c r="I223" i="29"/>
  <c r="B71" i="29"/>
  <c r="C143" i="28"/>
  <c r="L143" i="28" s="1"/>
  <c r="C142" i="28"/>
  <c r="L142" i="28" s="1"/>
  <c r="C139" i="28"/>
  <c r="L139" i="28" s="1"/>
  <c r="C146" i="28"/>
  <c r="L146" i="28" s="1"/>
  <c r="C138" i="28"/>
  <c r="L138" i="28" s="1"/>
  <c r="B6" i="9"/>
  <c r="E4" i="11"/>
  <c r="J4" i="11"/>
  <c r="B11" i="9"/>
  <c r="B4" i="11"/>
  <c r="B3" i="9"/>
  <c r="L155" i="28"/>
  <c r="L157" i="28"/>
  <c r="C10" i="9" s="1"/>
  <c r="L156" i="28"/>
  <c r="L158" i="28"/>
  <c r="B7" i="9"/>
  <c r="F4" i="11"/>
  <c r="B12" i="9"/>
  <c r="K4" i="11"/>
  <c r="C4" i="11"/>
  <c r="B4" i="9"/>
  <c r="D4" i="11"/>
  <c r="B5" i="9"/>
  <c r="L159" i="28"/>
  <c r="C12" i="9" s="1"/>
  <c r="I4" i="11"/>
  <c r="B10" i="9"/>
  <c r="B165" i="28"/>
  <c r="H4" i="11"/>
  <c r="B9" i="9"/>
  <c r="B8" i="9"/>
  <c r="G4" i="11"/>
  <c r="M229" i="28"/>
  <c r="N229" i="28" s="1"/>
  <c r="O229" i="28" s="1"/>
  <c r="M233" i="28"/>
  <c r="N233" i="28" s="1"/>
  <c r="O233" i="28" s="1"/>
  <c r="M231" i="28"/>
  <c r="N231" i="28" s="1"/>
  <c r="O231" i="28" s="1"/>
  <c r="M228" i="28"/>
  <c r="N228" i="28" s="1"/>
  <c r="O228" i="28" s="1"/>
  <c r="M232" i="28"/>
  <c r="N232" i="28" s="1"/>
  <c r="O232" i="28" s="1"/>
  <c r="M227" i="28"/>
  <c r="N227" i="28" s="1"/>
  <c r="O227" i="28" s="1"/>
  <c r="O249" i="28" s="1"/>
  <c r="L243" i="29" l="1"/>
  <c r="C16" i="31"/>
  <c r="C28" i="31" s="1"/>
  <c r="C40" i="31" s="1"/>
  <c r="C36" i="31"/>
  <c r="L279" i="29"/>
  <c r="P272" i="29"/>
  <c r="P279" i="29" s="1"/>
  <c r="C18" i="31"/>
  <c r="C50" i="31"/>
  <c r="C21" i="31"/>
  <c r="L242" i="29"/>
  <c r="C35" i="31"/>
  <c r="L237" i="29"/>
  <c r="Q220" i="29"/>
  <c r="L227" i="29"/>
  <c r="C20" i="31"/>
  <c r="P255" i="29"/>
  <c r="P262" i="29" s="1"/>
  <c r="L224" i="29"/>
  <c r="L234" i="29"/>
  <c r="L241" i="29" s="1"/>
  <c r="C34" i="31"/>
  <c r="C46" i="31" s="1"/>
  <c r="L223" i="29"/>
  <c r="L233" i="29"/>
  <c r="L240" i="29" s="1"/>
  <c r="Q219" i="29"/>
  <c r="P226" i="29" s="1"/>
  <c r="I236" i="29"/>
  <c r="I243" i="29" s="1"/>
  <c r="I226" i="29"/>
  <c r="C17" i="31"/>
  <c r="C25" i="31"/>
  <c r="I237" i="29"/>
  <c r="I244" i="29" s="1"/>
  <c r="C19" i="31"/>
  <c r="C31" i="31" s="1"/>
  <c r="C15" i="31"/>
  <c r="C9" i="9"/>
  <c r="D9" i="9" s="1"/>
  <c r="E9" i="9" s="1"/>
  <c r="C112" i="29"/>
  <c r="D112" i="29" s="1"/>
  <c r="K5" i="11"/>
  <c r="K6" i="11" s="1"/>
  <c r="C115" i="29"/>
  <c r="D115" i="29" s="1"/>
  <c r="C11" i="9"/>
  <c r="D11" i="9" s="1"/>
  <c r="E11" i="9" s="1"/>
  <c r="C114" i="29"/>
  <c r="D114" i="29" s="1"/>
  <c r="G5" i="11"/>
  <c r="G6" i="11" s="1"/>
  <c r="C111" i="29"/>
  <c r="D111" i="29" s="1"/>
  <c r="I5" i="11"/>
  <c r="I6" i="11" s="1"/>
  <c r="C113" i="29"/>
  <c r="D113" i="29" s="1"/>
  <c r="P286" i="29"/>
  <c r="I276" i="29"/>
  <c r="P269" i="29"/>
  <c r="P276" i="29" s="1"/>
  <c r="I259" i="29"/>
  <c r="P252" i="29"/>
  <c r="P259" i="29" s="1"/>
  <c r="I234" i="29"/>
  <c r="Q217" i="29"/>
  <c r="P224" i="29" s="1"/>
  <c r="I224" i="29"/>
  <c r="P285" i="29"/>
  <c r="P268" i="29"/>
  <c r="P275" i="29" s="1"/>
  <c r="I275" i="29"/>
  <c r="I258" i="29"/>
  <c r="P251" i="29"/>
  <c r="P258" i="29" s="1"/>
  <c r="Q216" i="29"/>
  <c r="P223" i="29" s="1"/>
  <c r="I233" i="29"/>
  <c r="D10" i="9"/>
  <c r="E10" i="9" s="1"/>
  <c r="J5" i="11"/>
  <c r="J6" i="11" s="1"/>
  <c r="L161" i="28"/>
  <c r="H5" i="11"/>
  <c r="H6" i="11" s="1"/>
  <c r="C8" i="9"/>
  <c r="D8" i="9" s="1"/>
  <c r="E8" i="9" s="1"/>
  <c r="D12" i="9"/>
  <c r="E12" i="9" s="1"/>
  <c r="L160" i="28"/>
  <c r="C58" i="31" l="1"/>
  <c r="P237" i="29"/>
  <c r="P244" i="29" s="1"/>
  <c r="L244" i="29"/>
  <c r="C47" i="31"/>
  <c r="C33" i="31"/>
  <c r="C30" i="31"/>
  <c r="C48" i="31"/>
  <c r="C43" i="31"/>
  <c r="C55" i="31" s="1"/>
  <c r="C37" i="31"/>
  <c r="C32" i="31"/>
  <c r="C44" i="31" s="1"/>
  <c r="C29" i="31"/>
  <c r="C62" i="31"/>
  <c r="C52" i="31"/>
  <c r="C27" i="31"/>
  <c r="P236" i="29"/>
  <c r="P243" i="29" s="1"/>
  <c r="C14" i="9"/>
  <c r="C117" i="29"/>
  <c r="E117" i="29" s="1"/>
  <c r="F117" i="29" s="1"/>
  <c r="C13" i="9"/>
  <c r="C116" i="29"/>
  <c r="E116" i="29" s="1"/>
  <c r="F116" i="29" s="1"/>
  <c r="I241" i="29"/>
  <c r="P234" i="29"/>
  <c r="P241" i="29" s="1"/>
  <c r="P233" i="29"/>
  <c r="P240" i="29" s="1"/>
  <c r="I240" i="29"/>
  <c r="M5" i="11"/>
  <c r="L5" i="11"/>
  <c r="D14" i="23"/>
  <c r="D13" i="23"/>
  <c r="C14" i="23"/>
  <c r="C13" i="23"/>
  <c r="C12" i="23"/>
  <c r="C11" i="23"/>
  <c r="C10" i="23"/>
  <c r="C9" i="23"/>
  <c r="B14" i="23"/>
  <c r="B10" i="23"/>
  <c r="B11" i="23"/>
  <c r="E11" i="23" s="1"/>
  <c r="B12" i="23"/>
  <c r="B13" i="23"/>
  <c r="B9" i="23"/>
  <c r="B8" i="23"/>
  <c r="E8" i="23" s="1"/>
  <c r="B7" i="23"/>
  <c r="E7" i="23" s="1"/>
  <c r="B6" i="23"/>
  <c r="E6" i="23" s="1"/>
  <c r="B5" i="23"/>
  <c r="E5" i="23" s="1"/>
  <c r="B4" i="23"/>
  <c r="C49" i="31" l="1"/>
  <c r="C45" i="31"/>
  <c r="C64" i="31"/>
  <c r="C41" i="31"/>
  <c r="C60" i="31"/>
  <c r="C39" i="31"/>
  <c r="C74" i="31"/>
  <c r="C56" i="31"/>
  <c r="C67" i="31"/>
  <c r="C42" i="31"/>
  <c r="C59" i="31"/>
  <c r="C70" i="31"/>
  <c r="E12" i="23"/>
  <c r="B15" i="23"/>
  <c r="D15" i="23"/>
  <c r="E10" i="23"/>
  <c r="E13" i="23"/>
  <c r="E14" i="23"/>
  <c r="E4" i="23"/>
  <c r="C15" i="23"/>
  <c r="E9" i="23"/>
  <c r="D11" i="18"/>
  <c r="K42" i="11" s="1"/>
  <c r="K47" i="11" s="1"/>
  <c r="C71" i="31" l="1"/>
  <c r="C53" i="31"/>
  <c r="C57" i="31"/>
  <c r="C82" i="31"/>
  <c r="L70" i="31"/>
  <c r="M70" i="31" s="1"/>
  <c r="N70" i="31" s="1"/>
  <c r="C54" i="31"/>
  <c r="C68" i="31"/>
  <c r="C51" i="31"/>
  <c r="C61" i="31"/>
  <c r="C79" i="31"/>
  <c r="L67" i="31"/>
  <c r="M67" i="31" s="1"/>
  <c r="N67" i="31" s="1"/>
  <c r="C86" i="31"/>
  <c r="L74" i="31"/>
  <c r="M74" i="31" s="1"/>
  <c r="N74" i="31" s="1"/>
  <c r="C72" i="31"/>
  <c r="C76" i="31"/>
  <c r="L64" i="31"/>
  <c r="M64" i="31" s="1"/>
  <c r="N64" i="31" s="1"/>
  <c r="E15" i="23"/>
  <c r="F4" i="23"/>
  <c r="C73" i="31" l="1"/>
  <c r="C65" i="31"/>
  <c r="C88" i="31"/>
  <c r="L76" i="31"/>
  <c r="M76" i="31" s="1"/>
  <c r="N76" i="31" s="1"/>
  <c r="C98" i="31"/>
  <c r="L86" i="31"/>
  <c r="M86" i="31" s="1"/>
  <c r="N86" i="31" s="1"/>
  <c r="C80" i="31"/>
  <c r="L68" i="31"/>
  <c r="M68" i="31" s="1"/>
  <c r="N68" i="31" s="1"/>
  <c r="C94" i="31"/>
  <c r="L82" i="31"/>
  <c r="M82" i="31" s="1"/>
  <c r="N82" i="31" s="1"/>
  <c r="C84" i="31"/>
  <c r="L72" i="31"/>
  <c r="M72" i="31" s="1"/>
  <c r="N72" i="31" s="1"/>
  <c r="C91" i="31"/>
  <c r="L79" i="31"/>
  <c r="M79" i="31" s="1"/>
  <c r="N79" i="31" s="1"/>
  <c r="C63" i="31"/>
  <c r="C66" i="31"/>
  <c r="C69" i="31"/>
  <c r="C83" i="31"/>
  <c r="L71" i="31"/>
  <c r="M71" i="31" s="1"/>
  <c r="N71" i="31" s="1"/>
  <c r="D12" i="17"/>
  <c r="D11" i="17"/>
  <c r="D10" i="17"/>
  <c r="D9" i="17"/>
  <c r="D8" i="17"/>
  <c r="C22" i="17"/>
  <c r="B25" i="17"/>
  <c r="B22" i="17"/>
  <c r="D10" i="18"/>
  <c r="J42" i="11" s="1"/>
  <c r="J47" i="11" s="1"/>
  <c r="D9" i="18"/>
  <c r="I42" i="11" s="1"/>
  <c r="I47" i="11" s="1"/>
  <c r="D8" i="18"/>
  <c r="H42" i="11" s="1"/>
  <c r="H47" i="11" s="1"/>
  <c r="D7" i="18"/>
  <c r="G42" i="11" s="1"/>
  <c r="G47" i="11" s="1"/>
  <c r="G10" i="9"/>
  <c r="G11" i="9"/>
  <c r="G12" i="9"/>
  <c r="G9" i="9"/>
  <c r="G8" i="9"/>
  <c r="G41" i="11" l="1"/>
  <c r="G46" i="11" s="1"/>
  <c r="G9" i="11"/>
  <c r="B13" i="29" s="1"/>
  <c r="F8" i="9"/>
  <c r="I9" i="11"/>
  <c r="B15" i="29" s="1"/>
  <c r="I41" i="11"/>
  <c r="I46" i="11" s="1"/>
  <c r="F10" i="9"/>
  <c r="D22" i="17"/>
  <c r="J27" i="9"/>
  <c r="J40" i="9" s="1"/>
  <c r="G21" i="11"/>
  <c r="D26" i="17"/>
  <c r="J31" i="9"/>
  <c r="K21" i="11"/>
  <c r="C78" i="31"/>
  <c r="L66" i="31"/>
  <c r="M66" i="31" s="1"/>
  <c r="N66" i="31" s="1"/>
  <c r="H9" i="11"/>
  <c r="B14" i="29" s="1"/>
  <c r="C14" i="29" s="1"/>
  <c r="H41" i="11"/>
  <c r="H46" i="11" s="1"/>
  <c r="F9" i="9"/>
  <c r="D23" i="17"/>
  <c r="J28" i="9"/>
  <c r="J41" i="9" s="1"/>
  <c r="H21" i="11"/>
  <c r="L83" i="31"/>
  <c r="M83" i="31" s="1"/>
  <c r="N83" i="31" s="1"/>
  <c r="C95" i="31"/>
  <c r="L91" i="31"/>
  <c r="M91" i="31" s="1"/>
  <c r="N91" i="31" s="1"/>
  <c r="C103" i="31"/>
  <c r="C106" i="31"/>
  <c r="L94" i="31"/>
  <c r="M94" i="31" s="1"/>
  <c r="N94" i="31" s="1"/>
  <c r="C110" i="31"/>
  <c r="L98" i="31"/>
  <c r="M98" i="31" s="1"/>
  <c r="N98" i="31" s="1"/>
  <c r="L65" i="31"/>
  <c r="M65" i="31" s="1"/>
  <c r="N65" i="31" s="1"/>
  <c r="C77" i="31"/>
  <c r="J29" i="9"/>
  <c r="J42" i="9" s="1"/>
  <c r="I21" i="11"/>
  <c r="L69" i="31"/>
  <c r="M69" i="31" s="1"/>
  <c r="N69" i="31" s="1"/>
  <c r="C81" i="31"/>
  <c r="C85" i="31"/>
  <c r="L73" i="31"/>
  <c r="M73" i="31" s="1"/>
  <c r="N73" i="31" s="1"/>
  <c r="J41" i="11"/>
  <c r="J46" i="11" s="1"/>
  <c r="J9" i="11"/>
  <c r="B16" i="29" s="1"/>
  <c r="C16" i="29" s="1"/>
  <c r="F11" i="9"/>
  <c r="J21" i="11"/>
  <c r="J30" i="9"/>
  <c r="J43" i="9" s="1"/>
  <c r="C75" i="31"/>
  <c r="L63" i="31"/>
  <c r="C96" i="31"/>
  <c r="L84" i="31"/>
  <c r="M84" i="31" s="1"/>
  <c r="N84" i="31" s="1"/>
  <c r="C92" i="31"/>
  <c r="L80" i="31"/>
  <c r="M80" i="31" s="1"/>
  <c r="N80" i="31" s="1"/>
  <c r="C100" i="31"/>
  <c r="L88" i="31"/>
  <c r="M88" i="31" s="1"/>
  <c r="N88" i="31" s="1"/>
  <c r="F12" i="9"/>
  <c r="K9" i="11"/>
  <c r="B17" i="29" s="1"/>
  <c r="K41" i="11"/>
  <c r="K46" i="11" s="1"/>
  <c r="G10" i="17"/>
  <c r="I40" i="11" s="1"/>
  <c r="C24" i="17"/>
  <c r="C25" i="17"/>
  <c r="B23" i="17"/>
  <c r="C26" i="17"/>
  <c r="D25" i="17"/>
  <c r="B26" i="17"/>
  <c r="D24" i="17"/>
  <c r="B24" i="17"/>
  <c r="C23" i="17"/>
  <c r="G8" i="17"/>
  <c r="G40" i="11" s="1"/>
  <c r="G12" i="17"/>
  <c r="K40" i="11" s="1"/>
  <c r="G9" i="17"/>
  <c r="H40" i="11" s="1"/>
  <c r="G11" i="17"/>
  <c r="J40" i="11" s="1"/>
  <c r="C17" i="29" l="1"/>
  <c r="M63" i="31"/>
  <c r="N63" i="31" s="1"/>
  <c r="L155" i="31"/>
  <c r="M155" i="28" s="1"/>
  <c r="C97" i="31"/>
  <c r="L85" i="31"/>
  <c r="M85" i="31" s="1"/>
  <c r="N85" i="31" s="1"/>
  <c r="C122" i="31"/>
  <c r="L110" i="31"/>
  <c r="M110" i="31" s="1"/>
  <c r="N110" i="31" s="1"/>
  <c r="J270" i="29"/>
  <c r="D62" i="29"/>
  <c r="K35" i="11"/>
  <c r="F17" i="29" s="1"/>
  <c r="C15" i="29"/>
  <c r="C89" i="31"/>
  <c r="L77" i="31"/>
  <c r="M77" i="31" s="1"/>
  <c r="N77" i="31" s="1"/>
  <c r="L95" i="31"/>
  <c r="M95" i="31" s="1"/>
  <c r="N95" i="31" s="1"/>
  <c r="C107" i="31"/>
  <c r="J32" i="9"/>
  <c r="J33" i="9" s="1"/>
  <c r="J44" i="9"/>
  <c r="D30" i="17"/>
  <c r="C104" i="31"/>
  <c r="L92" i="31"/>
  <c r="M92" i="31" s="1"/>
  <c r="N92" i="31" s="1"/>
  <c r="C87" i="31"/>
  <c r="L75" i="31"/>
  <c r="C93" i="31"/>
  <c r="L81" i="31"/>
  <c r="M81" i="31" s="1"/>
  <c r="N81" i="31" s="1"/>
  <c r="K45" i="11"/>
  <c r="L106" i="31"/>
  <c r="M106" i="31" s="1"/>
  <c r="N106" i="31" s="1"/>
  <c r="C118" i="31"/>
  <c r="C90" i="31"/>
  <c r="L78" i="31"/>
  <c r="M78" i="31" s="1"/>
  <c r="N78" i="31" s="1"/>
  <c r="C112" i="31"/>
  <c r="L100" i="31"/>
  <c r="M100" i="31" s="1"/>
  <c r="N100" i="31" s="1"/>
  <c r="C108" i="31"/>
  <c r="L96" i="31"/>
  <c r="M96" i="31" s="1"/>
  <c r="N96" i="31" s="1"/>
  <c r="J253" i="29"/>
  <c r="D61" i="29"/>
  <c r="J35" i="11"/>
  <c r="F16" i="29" s="1"/>
  <c r="G16" i="29" s="1"/>
  <c r="J235" i="29"/>
  <c r="D60" i="29"/>
  <c r="I35" i="11"/>
  <c r="F15" i="29" s="1"/>
  <c r="L103" i="31"/>
  <c r="M103" i="31" s="1"/>
  <c r="N103" i="31" s="1"/>
  <c r="C115" i="31"/>
  <c r="I201" i="29"/>
  <c r="D58" i="29"/>
  <c r="H35" i="11"/>
  <c r="F14" i="29" s="1"/>
  <c r="I218" i="29"/>
  <c r="D57" i="29"/>
  <c r="G35" i="11"/>
  <c r="F13" i="29" s="1"/>
  <c r="C30" i="17"/>
  <c r="D13" i="11"/>
  <c r="B54" i="29" s="1"/>
  <c r="E13" i="11"/>
  <c r="B55" i="29" s="1"/>
  <c r="F13" i="11"/>
  <c r="B56" i="29" s="1"/>
  <c r="D14" i="11"/>
  <c r="B26" i="29" s="1"/>
  <c r="E14" i="11"/>
  <c r="B27" i="29" s="1"/>
  <c r="F14" i="11"/>
  <c r="B28" i="29" s="1"/>
  <c r="D17" i="11"/>
  <c r="C54" i="29" s="1"/>
  <c r="E17" i="11"/>
  <c r="C55" i="29" s="1"/>
  <c r="F17" i="11"/>
  <c r="C56" i="29" s="1"/>
  <c r="D18" i="11"/>
  <c r="C26" i="29" s="1"/>
  <c r="E18" i="11"/>
  <c r="C27" i="29" s="1"/>
  <c r="F18" i="11"/>
  <c r="C28" i="29" s="1"/>
  <c r="D21" i="11"/>
  <c r="D54" i="29" s="1"/>
  <c r="E21" i="11"/>
  <c r="D55" i="29" s="1"/>
  <c r="F21" i="11"/>
  <c r="D56" i="29" s="1"/>
  <c r="D22" i="11"/>
  <c r="D26" i="29" s="1"/>
  <c r="E22" i="11"/>
  <c r="D27" i="29" s="1"/>
  <c r="D69" i="29" s="1"/>
  <c r="F22" i="11"/>
  <c r="D28" i="29" s="1"/>
  <c r="D23" i="11"/>
  <c r="E23" i="11"/>
  <c r="F23" i="11"/>
  <c r="D26" i="11"/>
  <c r="E54" i="29" s="1"/>
  <c r="E26" i="11"/>
  <c r="E55" i="29" s="1"/>
  <c r="F26" i="11"/>
  <c r="E56" i="29" s="1"/>
  <c r="D27" i="11"/>
  <c r="E26" i="29" s="1"/>
  <c r="E68" i="29" s="1"/>
  <c r="E27" i="11"/>
  <c r="E27" i="29" s="1"/>
  <c r="F27" i="11"/>
  <c r="E28" i="29" s="1"/>
  <c r="E70" i="29" s="1"/>
  <c r="I41" i="27"/>
  <c r="E41" i="27"/>
  <c r="D41" i="27"/>
  <c r="B41" i="27"/>
  <c r="H21" i="27"/>
  <c r="G21" i="27"/>
  <c r="D21" i="27"/>
  <c r="C21" i="27"/>
  <c r="G41" i="27"/>
  <c r="F21" i="27"/>
  <c r="E21" i="27"/>
  <c r="B21" i="27"/>
  <c r="Q5" i="27"/>
  <c r="P5" i="27"/>
  <c r="O5" i="27"/>
  <c r="N5" i="27"/>
  <c r="M5" i="27"/>
  <c r="L5" i="27"/>
  <c r="K5" i="27"/>
  <c r="J58" i="9"/>
  <c r="H58" i="9" s="1"/>
  <c r="I58" i="9" s="1"/>
  <c r="H22" i="9"/>
  <c r="J22" i="9"/>
  <c r="J36" i="9" s="1"/>
  <c r="J48" i="9" s="1"/>
  <c r="K22" i="9"/>
  <c r="K36" i="9" s="1"/>
  <c r="L22" i="9"/>
  <c r="L36" i="9" s="1"/>
  <c r="L48" i="9" s="1"/>
  <c r="G7" i="9"/>
  <c r="F7" i="9" s="1"/>
  <c r="E5" i="24"/>
  <c r="E6" i="24"/>
  <c r="E7" i="24"/>
  <c r="E8" i="24"/>
  <c r="E9" i="24"/>
  <c r="E10" i="24"/>
  <c r="E11" i="24"/>
  <c r="E12" i="24"/>
  <c r="E13" i="24"/>
  <c r="E14" i="24"/>
  <c r="E15" i="24"/>
  <c r="E16" i="24"/>
  <c r="E17" i="24"/>
  <c r="E18" i="24"/>
  <c r="E19" i="24"/>
  <c r="E20" i="24"/>
  <c r="E21" i="24"/>
  <c r="E22" i="24"/>
  <c r="E23" i="24"/>
  <c r="E24" i="24"/>
  <c r="E25" i="24"/>
  <c r="E26" i="24"/>
  <c r="E27" i="24"/>
  <c r="E28" i="24"/>
  <c r="E29" i="24"/>
  <c r="E30" i="24"/>
  <c r="E31" i="24"/>
  <c r="E32" i="24"/>
  <c r="E33" i="24"/>
  <c r="E34" i="24"/>
  <c r="E35" i="24"/>
  <c r="E36" i="24"/>
  <c r="E37" i="24"/>
  <c r="E38" i="24"/>
  <c r="E39" i="24"/>
  <c r="E40" i="24"/>
  <c r="E41" i="24"/>
  <c r="E42" i="24"/>
  <c r="E43" i="24"/>
  <c r="E44" i="24"/>
  <c r="E45" i="24"/>
  <c r="E46" i="24"/>
  <c r="E47" i="24"/>
  <c r="E48" i="24"/>
  <c r="E49" i="24"/>
  <c r="E50" i="24"/>
  <c r="E51" i="24"/>
  <c r="E52" i="24"/>
  <c r="E53" i="24"/>
  <c r="E54" i="24"/>
  <c r="E55" i="24"/>
  <c r="E56" i="24"/>
  <c r="E57" i="24"/>
  <c r="E58" i="24"/>
  <c r="E59" i="24"/>
  <c r="E60" i="24"/>
  <c r="E61" i="24"/>
  <c r="E62" i="24"/>
  <c r="E63" i="24"/>
  <c r="E64" i="24"/>
  <c r="E65" i="24"/>
  <c r="E66" i="24"/>
  <c r="E67" i="24"/>
  <c r="E68" i="24"/>
  <c r="E69" i="24"/>
  <c r="E70" i="24"/>
  <c r="E71" i="24"/>
  <c r="E72" i="24"/>
  <c r="E73" i="24"/>
  <c r="E74" i="24"/>
  <c r="E75" i="24"/>
  <c r="E77" i="24"/>
  <c r="E78" i="24"/>
  <c r="E79" i="24"/>
  <c r="E80" i="24"/>
  <c r="E81" i="24"/>
  <c r="G81" i="24" s="1"/>
  <c r="E82" i="24"/>
  <c r="G82" i="24" s="1"/>
  <c r="E83" i="24"/>
  <c r="G83" i="24" s="1"/>
  <c r="E84" i="24"/>
  <c r="G84" i="24" s="1"/>
  <c r="E85" i="24"/>
  <c r="G85" i="24" s="1"/>
  <c r="E86" i="24"/>
  <c r="G86" i="24" s="1"/>
  <c r="E87" i="24"/>
  <c r="G87" i="24" s="1"/>
  <c r="E88" i="24"/>
  <c r="G88" i="24" s="1"/>
  <c r="E89" i="24"/>
  <c r="G89" i="24" s="1"/>
  <c r="E90" i="24"/>
  <c r="G90" i="24" s="1"/>
  <c r="E91" i="24"/>
  <c r="G91" i="24" s="1"/>
  <c r="E92" i="24"/>
  <c r="G92" i="24" s="1"/>
  <c r="E93" i="24"/>
  <c r="G93" i="24" s="1"/>
  <c r="E94" i="24"/>
  <c r="G94" i="24" s="1"/>
  <c r="E95" i="24"/>
  <c r="G95" i="24" s="1"/>
  <c r="E96" i="24"/>
  <c r="G96" i="24" s="1"/>
  <c r="E97" i="24"/>
  <c r="G97" i="24" s="1"/>
  <c r="E98" i="24"/>
  <c r="G98" i="24" s="1"/>
  <c r="E99" i="24"/>
  <c r="G99" i="24" s="1"/>
  <c r="E100" i="24"/>
  <c r="G100" i="24" s="1"/>
  <c r="E101" i="24"/>
  <c r="G101" i="24" s="1"/>
  <c r="E102" i="24"/>
  <c r="G102" i="24" s="1"/>
  <c r="E103" i="24"/>
  <c r="G103" i="24" s="1"/>
  <c r="E104" i="24"/>
  <c r="G104" i="24" s="1"/>
  <c r="E105" i="24"/>
  <c r="G105" i="24" s="1"/>
  <c r="E106" i="24"/>
  <c r="G106" i="24" s="1"/>
  <c r="E107" i="24"/>
  <c r="G107" i="24" s="1"/>
  <c r="E108" i="24"/>
  <c r="G108" i="24" s="1"/>
  <c r="E109" i="24"/>
  <c r="G109" i="24" s="1"/>
  <c r="E110" i="24"/>
  <c r="G110" i="24" s="1"/>
  <c r="E111" i="24"/>
  <c r="G111" i="24" s="1"/>
  <c r="E112" i="24"/>
  <c r="G112" i="24" s="1"/>
  <c r="E113" i="24"/>
  <c r="G113" i="24" s="1"/>
  <c r="E114" i="24"/>
  <c r="G114" i="24" s="1"/>
  <c r="E115" i="24"/>
  <c r="G115" i="24" s="1"/>
  <c r="E116" i="24"/>
  <c r="G116" i="24" s="1"/>
  <c r="E117" i="24"/>
  <c r="G117" i="24" s="1"/>
  <c r="E118" i="24"/>
  <c r="G118" i="24" s="1"/>
  <c r="E119" i="24"/>
  <c r="G119" i="24" s="1"/>
  <c r="E120" i="24"/>
  <c r="G120" i="24" s="1"/>
  <c r="E121" i="24"/>
  <c r="G121" i="24" s="1"/>
  <c r="E122" i="24"/>
  <c r="G122" i="24" s="1"/>
  <c r="E123" i="24"/>
  <c r="G123" i="24" s="1"/>
  <c r="E124" i="24"/>
  <c r="G124" i="24" s="1"/>
  <c r="E125" i="24"/>
  <c r="G125" i="24" s="1"/>
  <c r="E126" i="24"/>
  <c r="G126" i="24" s="1"/>
  <c r="E127" i="24"/>
  <c r="G127" i="24" s="1"/>
  <c r="E128" i="24"/>
  <c r="G128" i="24" s="1"/>
  <c r="E129" i="24"/>
  <c r="G129" i="24" s="1"/>
  <c r="E130" i="24"/>
  <c r="G130" i="24" s="1"/>
  <c r="E131" i="24"/>
  <c r="G131" i="24" s="1"/>
  <c r="E132" i="24"/>
  <c r="G132" i="24" s="1"/>
  <c r="E133" i="24"/>
  <c r="G133" i="24" s="1"/>
  <c r="E134" i="24"/>
  <c r="G134" i="24" s="1"/>
  <c r="E135" i="24"/>
  <c r="G135" i="24" s="1"/>
  <c r="E136" i="24"/>
  <c r="G136" i="24" s="1"/>
  <c r="E137" i="24"/>
  <c r="G137" i="24" s="1"/>
  <c r="E138" i="24"/>
  <c r="G138" i="24" s="1"/>
  <c r="E139" i="24"/>
  <c r="G139" i="24" s="1"/>
  <c r="E140" i="24"/>
  <c r="G140" i="24" s="1"/>
  <c r="E3" i="24"/>
  <c r="B18" i="17"/>
  <c r="B30" i="17" s="1"/>
  <c r="F32" i="11"/>
  <c r="F28" i="29" s="1"/>
  <c r="E32" i="11"/>
  <c r="F27" i="29" s="1"/>
  <c r="F69" i="29" s="1"/>
  <c r="D32" i="11"/>
  <c r="F26" i="29" s="1"/>
  <c r="C32" i="11"/>
  <c r="F25" i="29" s="1"/>
  <c r="B32" i="11"/>
  <c r="F24" i="29" s="1"/>
  <c r="G5" i="9"/>
  <c r="F5" i="9" s="1"/>
  <c r="G6" i="9"/>
  <c r="F6" i="9" s="1"/>
  <c r="B14" i="11"/>
  <c r="B24" i="29" s="1"/>
  <c r="B22" i="11"/>
  <c r="D24" i="29" s="1"/>
  <c r="B27" i="11"/>
  <c r="E24" i="29" s="1"/>
  <c r="C14" i="11"/>
  <c r="B25" i="29" s="1"/>
  <c r="C22" i="11"/>
  <c r="D25" i="29" s="1"/>
  <c r="C27" i="11"/>
  <c r="E25" i="29" s="1"/>
  <c r="F28" i="11"/>
  <c r="B23" i="11"/>
  <c r="B28" i="11"/>
  <c r="C23" i="11"/>
  <c r="C28" i="11"/>
  <c r="D28" i="11"/>
  <c r="E28" i="11"/>
  <c r="B16" i="18"/>
  <c r="B17" i="18"/>
  <c r="B18" i="18"/>
  <c r="B19" i="18"/>
  <c r="B20" i="18"/>
  <c r="C16" i="18"/>
  <c r="C17" i="18"/>
  <c r="C18" i="18"/>
  <c r="C19" i="18"/>
  <c r="F31" i="11"/>
  <c r="F56" i="29" s="1"/>
  <c r="G7" i="17"/>
  <c r="F40" i="11" s="1"/>
  <c r="B13" i="11"/>
  <c r="B52" i="29" s="1"/>
  <c r="B17" i="11"/>
  <c r="C52" i="29" s="1"/>
  <c r="B21" i="11"/>
  <c r="D52" i="29" s="1"/>
  <c r="B26" i="11"/>
  <c r="E52" i="29" s="1"/>
  <c r="B31" i="11"/>
  <c r="F52" i="29" s="1"/>
  <c r="C13" i="11"/>
  <c r="B53" i="29" s="1"/>
  <c r="C17" i="11"/>
  <c r="C53" i="29" s="1"/>
  <c r="C21" i="11"/>
  <c r="D53" i="29" s="1"/>
  <c r="C26" i="11"/>
  <c r="E53" i="29" s="1"/>
  <c r="C31" i="11"/>
  <c r="F53" i="29" s="1"/>
  <c r="D31" i="11"/>
  <c r="E31" i="11"/>
  <c r="F55" i="29" s="1"/>
  <c r="M15" i="23"/>
  <c r="G3" i="17"/>
  <c r="B40" i="11" s="1"/>
  <c r="G4" i="17"/>
  <c r="C40" i="11" s="1"/>
  <c r="G5" i="17"/>
  <c r="D40" i="11" s="1"/>
  <c r="G6" i="17"/>
  <c r="E40" i="11" s="1"/>
  <c r="I4" i="9"/>
  <c r="I23" i="9" s="1"/>
  <c r="I3" i="9"/>
  <c r="I22" i="9" s="1"/>
  <c r="D6" i="18"/>
  <c r="F42" i="11" s="1"/>
  <c r="A33" i="9"/>
  <c r="D2" i="18"/>
  <c r="B42" i="11" s="1"/>
  <c r="D3" i="18"/>
  <c r="C42" i="11" s="1"/>
  <c r="D4" i="18"/>
  <c r="D42" i="11" s="1"/>
  <c r="D5" i="18"/>
  <c r="E42" i="11" s="1"/>
  <c r="A32" i="9"/>
  <c r="A22" i="9"/>
  <c r="A16" i="11"/>
  <c r="A12" i="11"/>
  <c r="C2" i="17"/>
  <c r="D2" i="17"/>
  <c r="B1" i="18" s="1"/>
  <c r="F2" i="17"/>
  <c r="C1" i="18" s="1"/>
  <c r="E2" i="17"/>
  <c r="B2" i="17"/>
  <c r="A30" i="11"/>
  <c r="A25" i="11"/>
  <c r="A20" i="11"/>
  <c r="D22" i="29" s="1"/>
  <c r="E4" i="24"/>
  <c r="G4" i="9"/>
  <c r="F4" i="9" s="1"/>
  <c r="E76" i="24"/>
  <c r="H41" i="27"/>
  <c r="F41" i="27"/>
  <c r="I21" i="27"/>
  <c r="C41" i="27"/>
  <c r="E67" i="29" l="1"/>
  <c r="D66" i="29"/>
  <c r="F66" i="29"/>
  <c r="F70" i="29"/>
  <c r="E61" i="31"/>
  <c r="L61" i="31" s="1"/>
  <c r="M61" i="31" s="1"/>
  <c r="N61" i="31" s="1"/>
  <c r="E61" i="28"/>
  <c r="L61" i="28" s="1"/>
  <c r="M61" i="28" s="1"/>
  <c r="N61" i="28" s="1"/>
  <c r="E57" i="31"/>
  <c r="L57" i="31" s="1"/>
  <c r="M57" i="31" s="1"/>
  <c r="N57" i="31" s="1"/>
  <c r="E57" i="28"/>
  <c r="L57" i="28" s="1"/>
  <c r="M57" i="28" s="1"/>
  <c r="N57" i="28" s="1"/>
  <c r="E53" i="31"/>
  <c r="L53" i="31" s="1"/>
  <c r="M53" i="31" s="1"/>
  <c r="N53" i="31" s="1"/>
  <c r="E53" i="28"/>
  <c r="L53" i="28" s="1"/>
  <c r="M53" i="28" s="1"/>
  <c r="N53" i="28" s="1"/>
  <c r="E49" i="31"/>
  <c r="L49" i="31" s="1"/>
  <c r="M49" i="31" s="1"/>
  <c r="N49" i="31" s="1"/>
  <c r="E49" i="28"/>
  <c r="L49" i="28" s="1"/>
  <c r="M49" i="28" s="1"/>
  <c r="N49" i="28" s="1"/>
  <c r="E45" i="31"/>
  <c r="L45" i="31" s="1"/>
  <c r="M45" i="31" s="1"/>
  <c r="N45" i="31" s="1"/>
  <c r="E45" i="28"/>
  <c r="L45" i="28" s="1"/>
  <c r="M45" i="28" s="1"/>
  <c r="N45" i="28" s="1"/>
  <c r="E41" i="31"/>
  <c r="L41" i="31" s="1"/>
  <c r="M41" i="31" s="1"/>
  <c r="N41" i="31" s="1"/>
  <c r="E41" i="28"/>
  <c r="L41" i="28" s="1"/>
  <c r="M41" i="28" s="1"/>
  <c r="N41" i="28" s="1"/>
  <c r="E37" i="31"/>
  <c r="L37" i="31" s="1"/>
  <c r="M37" i="31" s="1"/>
  <c r="N37" i="31" s="1"/>
  <c r="E37" i="28"/>
  <c r="L37" i="28" s="1"/>
  <c r="M37" i="28" s="1"/>
  <c r="N37" i="28" s="1"/>
  <c r="E33" i="31"/>
  <c r="L33" i="31" s="1"/>
  <c r="M33" i="31" s="1"/>
  <c r="N33" i="31" s="1"/>
  <c r="E33" i="28"/>
  <c r="L33" i="28" s="1"/>
  <c r="M33" i="28" s="1"/>
  <c r="N33" i="28" s="1"/>
  <c r="E29" i="31"/>
  <c r="L29" i="31" s="1"/>
  <c r="M29" i="31" s="1"/>
  <c r="N29" i="31" s="1"/>
  <c r="E29" i="28"/>
  <c r="L29" i="28" s="1"/>
  <c r="M29" i="28" s="1"/>
  <c r="N29" i="28" s="1"/>
  <c r="E25" i="31"/>
  <c r="L25" i="31" s="1"/>
  <c r="M25" i="31" s="1"/>
  <c r="N25" i="31" s="1"/>
  <c r="E25" i="28"/>
  <c r="L25" i="28" s="1"/>
  <c r="M25" i="28" s="1"/>
  <c r="N25" i="28" s="1"/>
  <c r="E21" i="31"/>
  <c r="L21" i="31" s="1"/>
  <c r="M21" i="31" s="1"/>
  <c r="N21" i="31" s="1"/>
  <c r="E21" i="28"/>
  <c r="L21" i="28" s="1"/>
  <c r="M21" i="28" s="1"/>
  <c r="N21" i="28" s="1"/>
  <c r="E17" i="31"/>
  <c r="L17" i="31" s="1"/>
  <c r="M17" i="31" s="1"/>
  <c r="N17" i="31" s="1"/>
  <c r="E17" i="28"/>
  <c r="L17" i="28" s="1"/>
  <c r="M17" i="28" s="1"/>
  <c r="N17" i="28" s="1"/>
  <c r="E13" i="31"/>
  <c r="L13" i="31" s="1"/>
  <c r="M13" i="31" s="1"/>
  <c r="N13" i="31" s="1"/>
  <c r="E13" i="28"/>
  <c r="L13" i="28" s="1"/>
  <c r="M13" i="28" s="1"/>
  <c r="N13" i="28" s="1"/>
  <c r="E9" i="31"/>
  <c r="L9" i="31" s="1"/>
  <c r="M9" i="31" s="1"/>
  <c r="N9" i="31" s="1"/>
  <c r="E9" i="28"/>
  <c r="L9" i="28" s="1"/>
  <c r="M9" i="28" s="1"/>
  <c r="N9" i="28" s="1"/>
  <c r="E5" i="31"/>
  <c r="L5" i="31" s="1"/>
  <c r="M5" i="31" s="1"/>
  <c r="N5" i="31" s="1"/>
  <c r="E5" i="28"/>
  <c r="L5" i="28" s="1"/>
  <c r="M5" i="28" s="1"/>
  <c r="N5" i="28" s="1"/>
  <c r="AA16" i="27"/>
  <c r="C179" i="28" s="1"/>
  <c r="L179" i="28" s="1"/>
  <c r="AA10" i="27"/>
  <c r="C173" i="28" s="1"/>
  <c r="L173" i="28" s="1"/>
  <c r="AA15" i="27"/>
  <c r="C178" i="28" s="1"/>
  <c r="L178" i="28" s="1"/>
  <c r="AA12" i="27"/>
  <c r="C175" i="28" s="1"/>
  <c r="L175" i="28" s="1"/>
  <c r="AA18" i="27"/>
  <c r="C181" i="28" s="1"/>
  <c r="L181" i="28" s="1"/>
  <c r="AA13" i="27"/>
  <c r="C176" i="28" s="1"/>
  <c r="L176" i="28" s="1"/>
  <c r="AA11" i="27"/>
  <c r="C174" i="28" s="1"/>
  <c r="L174" i="28" s="1"/>
  <c r="AA14" i="27"/>
  <c r="C177" i="28" s="1"/>
  <c r="L177" i="28" s="1"/>
  <c r="AA9" i="27"/>
  <c r="C172" i="28" s="1"/>
  <c r="L172" i="28" s="1"/>
  <c r="AA17" i="27"/>
  <c r="C180" i="28" s="1"/>
  <c r="L180" i="28" s="1"/>
  <c r="AA19" i="27"/>
  <c r="C182" i="28" s="1"/>
  <c r="L182" i="28" s="1"/>
  <c r="AA8" i="27"/>
  <c r="C171" i="28" s="1"/>
  <c r="L171" i="28" s="1"/>
  <c r="M182" i="28" s="1"/>
  <c r="C118" i="29" s="1"/>
  <c r="E118" i="29" s="1"/>
  <c r="F118" i="29" s="1"/>
  <c r="E69" i="29"/>
  <c r="D70" i="29"/>
  <c r="G28" i="29"/>
  <c r="D72" i="29"/>
  <c r="G58" i="29"/>
  <c r="G61" i="29"/>
  <c r="D74" i="29"/>
  <c r="L87" i="31"/>
  <c r="C99" i="31"/>
  <c r="G17" i="29"/>
  <c r="C134" i="31"/>
  <c r="L122" i="31"/>
  <c r="M122" i="31" s="1"/>
  <c r="N122" i="31" s="1"/>
  <c r="H199" i="29"/>
  <c r="B22" i="29"/>
  <c r="D67" i="29"/>
  <c r="F67" i="29"/>
  <c r="E60" i="31"/>
  <c r="L60" i="31" s="1"/>
  <c r="M60" i="31" s="1"/>
  <c r="N60" i="31" s="1"/>
  <c r="E60" i="28"/>
  <c r="L60" i="28" s="1"/>
  <c r="M60" i="28" s="1"/>
  <c r="N60" i="28" s="1"/>
  <c r="E56" i="31"/>
  <c r="L56" i="31" s="1"/>
  <c r="M56" i="31" s="1"/>
  <c r="N56" i="31" s="1"/>
  <c r="E56" i="28"/>
  <c r="L56" i="28" s="1"/>
  <c r="M56" i="28" s="1"/>
  <c r="N56" i="28" s="1"/>
  <c r="E52" i="31"/>
  <c r="L52" i="31" s="1"/>
  <c r="M52" i="31" s="1"/>
  <c r="N52" i="31" s="1"/>
  <c r="E52" i="28"/>
  <c r="L52" i="28" s="1"/>
  <c r="M52" i="28" s="1"/>
  <c r="N52" i="28" s="1"/>
  <c r="E48" i="31"/>
  <c r="L48" i="31" s="1"/>
  <c r="M48" i="31" s="1"/>
  <c r="N48" i="31" s="1"/>
  <c r="E48" i="28"/>
  <c r="L48" i="28" s="1"/>
  <c r="M48" i="28" s="1"/>
  <c r="N48" i="28" s="1"/>
  <c r="E44" i="31"/>
  <c r="L44" i="31" s="1"/>
  <c r="M44" i="31" s="1"/>
  <c r="N44" i="31" s="1"/>
  <c r="E44" i="28"/>
  <c r="L44" i="28" s="1"/>
  <c r="M44" i="28" s="1"/>
  <c r="N44" i="28" s="1"/>
  <c r="E40" i="31"/>
  <c r="L40" i="31" s="1"/>
  <c r="M40" i="31" s="1"/>
  <c r="N40" i="31" s="1"/>
  <c r="E40" i="28"/>
  <c r="L40" i="28" s="1"/>
  <c r="M40" i="28" s="1"/>
  <c r="N40" i="28" s="1"/>
  <c r="E36" i="31"/>
  <c r="L36" i="31" s="1"/>
  <c r="M36" i="31" s="1"/>
  <c r="N36" i="31" s="1"/>
  <c r="E36" i="28"/>
  <c r="L36" i="28" s="1"/>
  <c r="M36" i="28" s="1"/>
  <c r="N36" i="28" s="1"/>
  <c r="E32" i="31"/>
  <c r="L32" i="31" s="1"/>
  <c r="M32" i="31" s="1"/>
  <c r="N32" i="31" s="1"/>
  <c r="E32" i="28"/>
  <c r="L32" i="28" s="1"/>
  <c r="M32" i="28" s="1"/>
  <c r="N32" i="28" s="1"/>
  <c r="E28" i="31"/>
  <c r="L28" i="31" s="1"/>
  <c r="M28" i="31" s="1"/>
  <c r="N28" i="31" s="1"/>
  <c r="E28" i="28"/>
  <c r="L28" i="28" s="1"/>
  <c r="M28" i="28" s="1"/>
  <c r="N28" i="28" s="1"/>
  <c r="E24" i="31"/>
  <c r="L24" i="31" s="1"/>
  <c r="M24" i="31" s="1"/>
  <c r="N24" i="31" s="1"/>
  <c r="E24" i="28"/>
  <c r="L24" i="28" s="1"/>
  <c r="M24" i="28" s="1"/>
  <c r="N24" i="28" s="1"/>
  <c r="E20" i="31"/>
  <c r="L20" i="31" s="1"/>
  <c r="M20" i="31" s="1"/>
  <c r="N20" i="31" s="1"/>
  <c r="E20" i="28"/>
  <c r="L20" i="28" s="1"/>
  <c r="M20" i="28" s="1"/>
  <c r="N20" i="28" s="1"/>
  <c r="E16" i="31"/>
  <c r="L16" i="31" s="1"/>
  <c r="M16" i="31" s="1"/>
  <c r="N16" i="31" s="1"/>
  <c r="E16" i="28"/>
  <c r="L16" i="28" s="1"/>
  <c r="M16" i="28" s="1"/>
  <c r="N16" i="28" s="1"/>
  <c r="E12" i="31"/>
  <c r="L12" i="31" s="1"/>
  <c r="M12" i="31" s="1"/>
  <c r="N12" i="31" s="1"/>
  <c r="E12" i="28"/>
  <c r="L12" i="28" s="1"/>
  <c r="M12" i="28" s="1"/>
  <c r="N12" i="28" s="1"/>
  <c r="E8" i="31"/>
  <c r="L8" i="31" s="1"/>
  <c r="M8" i="31" s="1"/>
  <c r="N8" i="31" s="1"/>
  <c r="E8" i="28"/>
  <c r="L8" i="28" s="1"/>
  <c r="M8" i="28" s="1"/>
  <c r="N8" i="28" s="1"/>
  <c r="E4" i="31"/>
  <c r="L4" i="31" s="1"/>
  <c r="M4" i="31" s="1"/>
  <c r="N4" i="31" s="1"/>
  <c r="E4" i="28"/>
  <c r="L4" i="28" s="1"/>
  <c r="M4" i="28" s="1"/>
  <c r="N4" i="28" s="1"/>
  <c r="G27" i="29"/>
  <c r="D71" i="29"/>
  <c r="G57" i="29"/>
  <c r="J218" i="29"/>
  <c r="I208" i="29"/>
  <c r="P201" i="29"/>
  <c r="P208" i="29" s="1"/>
  <c r="I204" i="29"/>
  <c r="D73" i="29"/>
  <c r="G60" i="29"/>
  <c r="I270" i="29"/>
  <c r="Q253" i="29"/>
  <c r="J256" i="29"/>
  <c r="C124" i="31"/>
  <c r="L112" i="31"/>
  <c r="M112" i="31" s="1"/>
  <c r="N112" i="31" s="1"/>
  <c r="C102" i="31"/>
  <c r="L90" i="31"/>
  <c r="M90" i="31" s="1"/>
  <c r="N90" i="31" s="1"/>
  <c r="D75" i="29"/>
  <c r="G62" i="29"/>
  <c r="J45" i="11"/>
  <c r="D51" i="29"/>
  <c r="D154" i="29" s="1"/>
  <c r="D159" i="29" s="1"/>
  <c r="D166" i="29"/>
  <c r="H200" i="29"/>
  <c r="C22" i="29"/>
  <c r="E59" i="31"/>
  <c r="L59" i="31" s="1"/>
  <c r="M59" i="31" s="1"/>
  <c r="N59" i="31" s="1"/>
  <c r="E59" i="28"/>
  <c r="L59" i="28" s="1"/>
  <c r="M59" i="28" s="1"/>
  <c r="N59" i="28" s="1"/>
  <c r="E55" i="31"/>
  <c r="L55" i="31" s="1"/>
  <c r="M55" i="31" s="1"/>
  <c r="N55" i="31" s="1"/>
  <c r="E55" i="28"/>
  <c r="L55" i="28" s="1"/>
  <c r="M55" i="28" s="1"/>
  <c r="N55" i="28" s="1"/>
  <c r="E51" i="31"/>
  <c r="L51" i="31" s="1"/>
  <c r="E51" i="28"/>
  <c r="L51" i="28" s="1"/>
  <c r="E47" i="31"/>
  <c r="L47" i="31" s="1"/>
  <c r="M47" i="31" s="1"/>
  <c r="N47" i="31" s="1"/>
  <c r="E47" i="28"/>
  <c r="L47" i="28" s="1"/>
  <c r="M47" i="28" s="1"/>
  <c r="N47" i="28" s="1"/>
  <c r="E43" i="31"/>
  <c r="L43" i="31" s="1"/>
  <c r="M43" i="31" s="1"/>
  <c r="N43" i="31" s="1"/>
  <c r="E43" i="28"/>
  <c r="L43" i="28" s="1"/>
  <c r="M43" i="28" s="1"/>
  <c r="N43" i="28" s="1"/>
  <c r="E39" i="31"/>
  <c r="L39" i="31" s="1"/>
  <c r="E39" i="28"/>
  <c r="L39" i="28" s="1"/>
  <c r="E35" i="31"/>
  <c r="L35" i="31" s="1"/>
  <c r="M35" i="31" s="1"/>
  <c r="N35" i="31" s="1"/>
  <c r="E35" i="28"/>
  <c r="L35" i="28" s="1"/>
  <c r="M35" i="28" s="1"/>
  <c r="N35" i="28" s="1"/>
  <c r="E31" i="31"/>
  <c r="L31" i="31" s="1"/>
  <c r="M31" i="31" s="1"/>
  <c r="N31" i="31" s="1"/>
  <c r="E31" i="28"/>
  <c r="L31" i="28" s="1"/>
  <c r="M31" i="28" s="1"/>
  <c r="N31" i="28" s="1"/>
  <c r="E27" i="31"/>
  <c r="L27" i="31" s="1"/>
  <c r="E27" i="28"/>
  <c r="L27" i="28" s="1"/>
  <c r="E23" i="31"/>
  <c r="L23" i="31" s="1"/>
  <c r="M23" i="31" s="1"/>
  <c r="N23" i="31" s="1"/>
  <c r="E23" i="28"/>
  <c r="L23" i="28" s="1"/>
  <c r="M23" i="28" s="1"/>
  <c r="N23" i="28" s="1"/>
  <c r="E19" i="31"/>
  <c r="L19" i="31" s="1"/>
  <c r="M19" i="31" s="1"/>
  <c r="N19" i="31" s="1"/>
  <c r="E19" i="28"/>
  <c r="L19" i="28" s="1"/>
  <c r="M19" i="28" s="1"/>
  <c r="N19" i="28" s="1"/>
  <c r="E15" i="31"/>
  <c r="L15" i="31" s="1"/>
  <c r="E15" i="28"/>
  <c r="L15" i="28" s="1"/>
  <c r="E11" i="31"/>
  <c r="L11" i="31" s="1"/>
  <c r="M11" i="31" s="1"/>
  <c r="N11" i="31" s="1"/>
  <c r="E11" i="28"/>
  <c r="L11" i="28" s="1"/>
  <c r="M11" i="28" s="1"/>
  <c r="N11" i="28" s="1"/>
  <c r="E7" i="31"/>
  <c r="L7" i="31" s="1"/>
  <c r="M7" i="31" s="1"/>
  <c r="N7" i="31" s="1"/>
  <c r="E7" i="28"/>
  <c r="L7" i="28" s="1"/>
  <c r="M7" i="28" s="1"/>
  <c r="N7" i="28" s="1"/>
  <c r="E3" i="31"/>
  <c r="L3" i="31" s="1"/>
  <c r="E3" i="28"/>
  <c r="L3" i="28" s="1"/>
  <c r="D68" i="29"/>
  <c r="G26" i="29"/>
  <c r="P218" i="29"/>
  <c r="L115" i="31"/>
  <c r="M115" i="31" s="1"/>
  <c r="N115" i="31" s="1"/>
  <c r="C127" i="31"/>
  <c r="I253" i="29"/>
  <c r="Q235" i="29"/>
  <c r="J238" i="29"/>
  <c r="I45" i="11"/>
  <c r="C130" i="31"/>
  <c r="L118" i="31"/>
  <c r="M118" i="31" s="1"/>
  <c r="N118" i="31" s="1"/>
  <c r="C105" i="31"/>
  <c r="L93" i="31"/>
  <c r="M93" i="31" s="1"/>
  <c r="N93" i="31" s="1"/>
  <c r="C116" i="31"/>
  <c r="L104" i="31"/>
  <c r="M104" i="31" s="1"/>
  <c r="N104" i="31" s="1"/>
  <c r="C101" i="31"/>
  <c r="L89" i="31"/>
  <c r="M89" i="31" s="1"/>
  <c r="N89" i="31" s="1"/>
  <c r="I287" i="29"/>
  <c r="Q270" i="29"/>
  <c r="J273" i="29"/>
  <c r="L97" i="31"/>
  <c r="M97" i="31" s="1"/>
  <c r="N97" i="31" s="1"/>
  <c r="C109" i="31"/>
  <c r="I220" i="29"/>
  <c r="F54" i="29"/>
  <c r="F68" i="29" s="1"/>
  <c r="E66" i="29"/>
  <c r="E62" i="31"/>
  <c r="L62" i="31" s="1"/>
  <c r="M62" i="31" s="1"/>
  <c r="N62" i="31" s="1"/>
  <c r="E62" i="28"/>
  <c r="L62" i="28" s="1"/>
  <c r="M62" i="28" s="1"/>
  <c r="N62" i="28" s="1"/>
  <c r="E58" i="31"/>
  <c r="L58" i="31" s="1"/>
  <c r="M58" i="31" s="1"/>
  <c r="N58" i="31" s="1"/>
  <c r="E58" i="28"/>
  <c r="L58" i="28" s="1"/>
  <c r="M58" i="28" s="1"/>
  <c r="N58" i="28" s="1"/>
  <c r="E54" i="31"/>
  <c r="L54" i="31" s="1"/>
  <c r="M54" i="31" s="1"/>
  <c r="N54" i="31" s="1"/>
  <c r="E54" i="28"/>
  <c r="L54" i="28" s="1"/>
  <c r="M54" i="28" s="1"/>
  <c r="N54" i="28" s="1"/>
  <c r="E50" i="31"/>
  <c r="L50" i="31" s="1"/>
  <c r="M50" i="31" s="1"/>
  <c r="N50" i="31" s="1"/>
  <c r="E50" i="28"/>
  <c r="L50" i="28" s="1"/>
  <c r="M50" i="28" s="1"/>
  <c r="N50" i="28" s="1"/>
  <c r="E46" i="31"/>
  <c r="L46" i="31" s="1"/>
  <c r="M46" i="31" s="1"/>
  <c r="N46" i="31" s="1"/>
  <c r="E46" i="28"/>
  <c r="L46" i="28" s="1"/>
  <c r="M46" i="28" s="1"/>
  <c r="N46" i="28" s="1"/>
  <c r="E42" i="31"/>
  <c r="L42" i="31" s="1"/>
  <c r="M42" i="31" s="1"/>
  <c r="N42" i="31" s="1"/>
  <c r="E42" i="28"/>
  <c r="L42" i="28" s="1"/>
  <c r="M42" i="28" s="1"/>
  <c r="N42" i="28" s="1"/>
  <c r="E38" i="31"/>
  <c r="L38" i="31" s="1"/>
  <c r="M38" i="31" s="1"/>
  <c r="N38" i="31" s="1"/>
  <c r="E38" i="28"/>
  <c r="L38" i="28" s="1"/>
  <c r="M38" i="28" s="1"/>
  <c r="N38" i="28" s="1"/>
  <c r="E34" i="31"/>
  <c r="L34" i="31" s="1"/>
  <c r="M34" i="31" s="1"/>
  <c r="N34" i="31" s="1"/>
  <c r="E34" i="28"/>
  <c r="L34" i="28" s="1"/>
  <c r="M34" i="28" s="1"/>
  <c r="N34" i="28" s="1"/>
  <c r="E30" i="31"/>
  <c r="L30" i="31" s="1"/>
  <c r="M30" i="31" s="1"/>
  <c r="N30" i="31" s="1"/>
  <c r="E30" i="28"/>
  <c r="L30" i="28" s="1"/>
  <c r="M30" i="28" s="1"/>
  <c r="N30" i="28" s="1"/>
  <c r="E26" i="31"/>
  <c r="L26" i="31" s="1"/>
  <c r="M26" i="31" s="1"/>
  <c r="N26" i="31" s="1"/>
  <c r="E26" i="28"/>
  <c r="L26" i="28" s="1"/>
  <c r="M26" i="28" s="1"/>
  <c r="N26" i="28" s="1"/>
  <c r="E22" i="31"/>
  <c r="L22" i="31" s="1"/>
  <c r="M22" i="31" s="1"/>
  <c r="N22" i="31" s="1"/>
  <c r="E22" i="28"/>
  <c r="L22" i="28" s="1"/>
  <c r="M22" i="28" s="1"/>
  <c r="N22" i="28" s="1"/>
  <c r="E18" i="31"/>
  <c r="L18" i="31" s="1"/>
  <c r="M18" i="31" s="1"/>
  <c r="N18" i="31" s="1"/>
  <c r="E18" i="28"/>
  <c r="L18" i="28" s="1"/>
  <c r="M18" i="28" s="1"/>
  <c r="N18" i="28" s="1"/>
  <c r="E14" i="31"/>
  <c r="L14" i="31" s="1"/>
  <c r="M14" i="31" s="1"/>
  <c r="N14" i="31" s="1"/>
  <c r="E14" i="28"/>
  <c r="L14" i="28" s="1"/>
  <c r="M14" i="28" s="1"/>
  <c r="N14" i="28" s="1"/>
  <c r="E10" i="31"/>
  <c r="L10" i="31" s="1"/>
  <c r="M10" i="31" s="1"/>
  <c r="N10" i="31" s="1"/>
  <c r="E10" i="28"/>
  <c r="L10" i="28" s="1"/>
  <c r="M10" i="28" s="1"/>
  <c r="N10" i="28" s="1"/>
  <c r="E6" i="31"/>
  <c r="L6" i="31" s="1"/>
  <c r="M6" i="31" s="1"/>
  <c r="N6" i="31" s="1"/>
  <c r="E6" i="28"/>
  <c r="L6" i="28" s="1"/>
  <c r="M6" i="28" s="1"/>
  <c r="N6" i="28" s="1"/>
  <c r="G15" i="29"/>
  <c r="G14" i="29"/>
  <c r="C120" i="31"/>
  <c r="L108" i="31"/>
  <c r="M108" i="31" s="1"/>
  <c r="N108" i="31" s="1"/>
  <c r="L156" i="31"/>
  <c r="M156" i="28" s="1"/>
  <c r="M75" i="31"/>
  <c r="N75" i="31" s="1"/>
  <c r="H45" i="11"/>
  <c r="L107" i="31"/>
  <c r="M107" i="31" s="1"/>
  <c r="N107" i="31" s="1"/>
  <c r="C119" i="31"/>
  <c r="G45" i="11"/>
  <c r="E111" i="29"/>
  <c r="F111" i="29" s="1"/>
  <c r="N155" i="28"/>
  <c r="C70" i="29"/>
  <c r="C69" i="29"/>
  <c r="C68" i="29"/>
  <c r="B70" i="29"/>
  <c r="G56" i="29"/>
  <c r="G55" i="29"/>
  <c r="B69" i="29"/>
  <c r="B68" i="29"/>
  <c r="G54" i="29"/>
  <c r="G53" i="29"/>
  <c r="B67" i="29"/>
  <c r="G52" i="29"/>
  <c r="B66" i="29"/>
  <c r="I36" i="9"/>
  <c r="I37" i="9"/>
  <c r="C41" i="11"/>
  <c r="D9" i="11"/>
  <c r="B10" i="29" s="1"/>
  <c r="B27" i="18"/>
  <c r="D161" i="29" s="1"/>
  <c r="E9" i="11"/>
  <c r="B11" i="29" s="1"/>
  <c r="C11" i="29" s="1"/>
  <c r="F9" i="11"/>
  <c r="B12" i="29" s="1"/>
  <c r="F37" i="11"/>
  <c r="F47" i="11" s="1"/>
  <c r="G3" i="9"/>
  <c r="D37" i="11"/>
  <c r="D47" i="11" s="1"/>
  <c r="D41" i="11"/>
  <c r="G4" i="23"/>
  <c r="F19" i="23" s="1"/>
  <c r="F20" i="23" s="1"/>
  <c r="E37" i="11"/>
  <c r="E47" i="11" s="1"/>
  <c r="L26" i="11"/>
  <c r="D28" i="17"/>
  <c r="M17" i="11"/>
  <c r="B28" i="17"/>
  <c r="L31" i="11"/>
  <c r="C18" i="11"/>
  <c r="F41" i="11"/>
  <c r="E41" i="11"/>
  <c r="B18" i="11"/>
  <c r="F35" i="11"/>
  <c r="C9" i="11"/>
  <c r="B9" i="29" s="1"/>
  <c r="B37" i="11"/>
  <c r="B47" i="11" s="1"/>
  <c r="D36" i="11"/>
  <c r="B35" i="11"/>
  <c r="E36" i="11"/>
  <c r="C37" i="11"/>
  <c r="C47" i="11" s="1"/>
  <c r="H36" i="9"/>
  <c r="H48" i="9" s="1"/>
  <c r="C35" i="11"/>
  <c r="F36" i="11"/>
  <c r="F46" i="11" s="1"/>
  <c r="D35" i="11"/>
  <c r="E35" i="11"/>
  <c r="AA36" i="27"/>
  <c r="AA28" i="27"/>
  <c r="AA39" i="27"/>
  <c r="AA35" i="27"/>
  <c r="AA31" i="27"/>
  <c r="P41" i="27"/>
  <c r="R41" i="27"/>
  <c r="U41" i="27"/>
  <c r="AA32" i="27"/>
  <c r="J41" i="27"/>
  <c r="K41" i="27"/>
  <c r="L21" i="27"/>
  <c r="P21" i="27"/>
  <c r="Q21" i="27"/>
  <c r="T21" i="27"/>
  <c r="U21" i="27"/>
  <c r="L41" i="27"/>
  <c r="AA33" i="27"/>
  <c r="M41" i="27"/>
  <c r="S41" i="27"/>
  <c r="N21" i="27"/>
  <c r="R21" i="27"/>
  <c r="AA38" i="27"/>
  <c r="AA34" i="27"/>
  <c r="AA30" i="27"/>
  <c r="AA37" i="27"/>
  <c r="AA29" i="27"/>
  <c r="N41" i="27"/>
  <c r="O41" i="27"/>
  <c r="K21" i="27"/>
  <c r="O21" i="27"/>
  <c r="S21" i="27"/>
  <c r="T41" i="27"/>
  <c r="J21" i="27"/>
  <c r="Q41" i="27"/>
  <c r="M21" i="27"/>
  <c r="C10" i="29" l="1"/>
  <c r="C121" i="31"/>
  <c r="L109" i="31"/>
  <c r="M109" i="31" s="1"/>
  <c r="N109" i="31" s="1"/>
  <c r="P287" i="29"/>
  <c r="I290" i="29"/>
  <c r="C128" i="31"/>
  <c r="L116" i="31"/>
  <c r="M116" i="31" s="1"/>
  <c r="N116" i="31" s="1"/>
  <c r="L130" i="31"/>
  <c r="C142" i="31"/>
  <c r="L142" i="31" s="1"/>
  <c r="I260" i="29"/>
  <c r="P253" i="29"/>
  <c r="P260" i="29" s="1"/>
  <c r="I256" i="29"/>
  <c r="M3" i="31"/>
  <c r="N3" i="31" s="1"/>
  <c r="L150" i="31"/>
  <c r="L152" i="31"/>
  <c r="M27" i="31"/>
  <c r="N27" i="31" s="1"/>
  <c r="M51" i="31"/>
  <c r="N51" i="31" s="1"/>
  <c r="L154" i="31"/>
  <c r="M154" i="28" s="1"/>
  <c r="C51" i="29"/>
  <c r="C154" i="29" s="1"/>
  <c r="C159" i="29" s="1"/>
  <c r="C166" i="29"/>
  <c r="C114" i="31"/>
  <c r="L102" i="31"/>
  <c r="M102" i="31" s="1"/>
  <c r="N102" i="31" s="1"/>
  <c r="H206" i="29"/>
  <c r="H216" i="29"/>
  <c r="L99" i="31"/>
  <c r="C111" i="31"/>
  <c r="C36" i="11"/>
  <c r="C25" i="29"/>
  <c r="D13" i="17"/>
  <c r="D14" i="17" s="1"/>
  <c r="C12" i="29"/>
  <c r="C13" i="29"/>
  <c r="L119" i="31"/>
  <c r="M119" i="31" s="1"/>
  <c r="N119" i="31" s="1"/>
  <c r="C131" i="31"/>
  <c r="L127" i="31"/>
  <c r="C139" i="31"/>
  <c r="L139" i="31" s="1"/>
  <c r="M15" i="28"/>
  <c r="N15" i="28" s="1"/>
  <c r="L151" i="28"/>
  <c r="M39" i="28"/>
  <c r="N39" i="28" s="1"/>
  <c r="L153" i="28"/>
  <c r="H207" i="29"/>
  <c r="H217" i="29"/>
  <c r="I277" i="29"/>
  <c r="P270" i="29"/>
  <c r="I273" i="29"/>
  <c r="M87" i="31"/>
  <c r="N87" i="31" s="1"/>
  <c r="L157" i="31"/>
  <c r="M157" i="28" s="1"/>
  <c r="B36" i="11"/>
  <c r="C24" i="29"/>
  <c r="J289" i="29"/>
  <c r="F63" i="29"/>
  <c r="J288" i="29"/>
  <c r="E63" i="29"/>
  <c r="C113" i="31"/>
  <c r="L101" i="31"/>
  <c r="M101" i="31" s="1"/>
  <c r="N101" i="31" s="1"/>
  <c r="C117" i="31"/>
  <c r="L105" i="31"/>
  <c r="M105" i="31" s="1"/>
  <c r="N105" i="31" s="1"/>
  <c r="M15" i="31"/>
  <c r="N15" i="31" s="1"/>
  <c r="L151" i="31"/>
  <c r="M151" i="28" s="1"/>
  <c r="M39" i="31"/>
  <c r="N39" i="31" s="1"/>
  <c r="L153" i="31"/>
  <c r="M153" i="28" s="1"/>
  <c r="H201" i="29"/>
  <c r="B181" i="29"/>
  <c r="E181" i="29" s="1"/>
  <c r="C136" i="31"/>
  <c r="L136" i="31" s="1"/>
  <c r="L124" i="31"/>
  <c r="C146" i="31"/>
  <c r="L146" i="31" s="1"/>
  <c r="L134" i="31"/>
  <c r="B9" i="11"/>
  <c r="B8" i="29" s="1"/>
  <c r="F3" i="9"/>
  <c r="D162" i="29"/>
  <c r="E162" i="29" s="1"/>
  <c r="E161" i="29"/>
  <c r="L120" i="31"/>
  <c r="M120" i="31" s="1"/>
  <c r="N120" i="31" s="1"/>
  <c r="C132" i="31"/>
  <c r="P220" i="29"/>
  <c r="P227" i="29" s="1"/>
  <c r="I227" i="29"/>
  <c r="P277" i="29"/>
  <c r="I221" i="29"/>
  <c r="M3" i="28"/>
  <c r="N3" i="28" s="1"/>
  <c r="N123" i="28" s="1"/>
  <c r="B95" i="29" s="1"/>
  <c r="L150" i="28"/>
  <c r="L148" i="28"/>
  <c r="M27" i="28"/>
  <c r="N27" i="28" s="1"/>
  <c r="L152" i="28"/>
  <c r="M51" i="28"/>
  <c r="N51" i="28" s="1"/>
  <c r="L154" i="28"/>
  <c r="I235" i="29"/>
  <c r="I225" i="29"/>
  <c r="Q218" i="29"/>
  <c r="P225" i="29" s="1"/>
  <c r="J221" i="29"/>
  <c r="B166" i="29"/>
  <c r="B51" i="29"/>
  <c r="B154" i="29" s="1"/>
  <c r="B159" i="29" s="1"/>
  <c r="C40" i="29"/>
  <c r="C82" i="29" s="1"/>
  <c r="F40" i="29"/>
  <c r="F82" i="29" s="1"/>
  <c r="F189" i="29"/>
  <c r="E40" i="29"/>
  <c r="E82" i="29" s="1"/>
  <c r="D40" i="29"/>
  <c r="D82" i="29" s="1"/>
  <c r="B40" i="29"/>
  <c r="D13" i="29"/>
  <c r="E189" i="29"/>
  <c r="N214" i="29"/>
  <c r="G111" i="29"/>
  <c r="J303" i="29"/>
  <c r="C64" i="29"/>
  <c r="F45" i="11"/>
  <c r="F12" i="29"/>
  <c r="G13" i="29" s="1"/>
  <c r="E45" i="11"/>
  <c r="F11" i="29"/>
  <c r="D45" i="11"/>
  <c r="F10" i="29"/>
  <c r="G11" i="29" s="1"/>
  <c r="C45" i="11"/>
  <c r="F9" i="29"/>
  <c r="B13" i="17"/>
  <c r="B14" i="17" s="1"/>
  <c r="M13" i="11" s="1"/>
  <c r="B45" i="11"/>
  <c r="F8" i="29"/>
  <c r="I48" i="9"/>
  <c r="C46" i="11"/>
  <c r="F17" i="9"/>
  <c r="D46" i="11"/>
  <c r="M21" i="11"/>
  <c r="B41" i="11"/>
  <c r="B46" i="11" s="1"/>
  <c r="F21" i="23"/>
  <c r="M31" i="11"/>
  <c r="L17" i="11"/>
  <c r="G13" i="17"/>
  <c r="L40" i="11" s="1"/>
  <c r="M26" i="11"/>
  <c r="E46" i="11"/>
  <c r="L51" i="9"/>
  <c r="F168" i="29" s="1"/>
  <c r="J306" i="29" l="1"/>
  <c r="F64" i="29"/>
  <c r="F46" i="29"/>
  <c r="F5" i="11"/>
  <c r="F6" i="11" s="1"/>
  <c r="M238" i="28"/>
  <c r="N238" i="28" s="1"/>
  <c r="O238" i="28" s="1"/>
  <c r="C7" i="9"/>
  <c r="D7" i="9" s="1"/>
  <c r="E7" i="9" s="1"/>
  <c r="C110" i="29"/>
  <c r="D110" i="29" s="1"/>
  <c r="J305" i="29"/>
  <c r="E64" i="29"/>
  <c r="C106" i="29"/>
  <c r="D106" i="29" s="1"/>
  <c r="B5" i="11"/>
  <c r="L165" i="28"/>
  <c r="C3" i="9"/>
  <c r="D3" i="9" s="1"/>
  <c r="E3" i="9" s="1"/>
  <c r="M234" i="28"/>
  <c r="N234" i="28" s="1"/>
  <c r="O234" i="28" s="1"/>
  <c r="L167" i="28"/>
  <c r="M167" i="28" s="1"/>
  <c r="E107" i="29"/>
  <c r="N151" i="28"/>
  <c r="M152" i="28"/>
  <c r="M236" i="31"/>
  <c r="H218" i="29"/>
  <c r="H208" i="29"/>
  <c r="C125" i="31"/>
  <c r="L113" i="31"/>
  <c r="M113" i="31" s="1"/>
  <c r="N113" i="31" s="1"/>
  <c r="I296" i="29"/>
  <c r="I306" i="29"/>
  <c r="I313" i="29" s="1"/>
  <c r="H234" i="29"/>
  <c r="H224" i="29"/>
  <c r="C5" i="11"/>
  <c r="C6" i="11" s="1"/>
  <c r="M235" i="28"/>
  <c r="N235" i="28" s="1"/>
  <c r="O235" i="28" s="1"/>
  <c r="C4" i="9"/>
  <c r="D4" i="9" s="1"/>
  <c r="E4" i="9" s="1"/>
  <c r="C107" i="29"/>
  <c r="D107" i="29" s="1"/>
  <c r="L131" i="31"/>
  <c r="C143" i="31"/>
  <c r="L143" i="31" s="1"/>
  <c r="L111" i="31"/>
  <c r="C123" i="31"/>
  <c r="E110" i="29"/>
  <c r="F110" i="29" s="1"/>
  <c r="N154" i="28"/>
  <c r="D5" i="11"/>
  <c r="D6" i="11" s="1"/>
  <c r="M236" i="28"/>
  <c r="N236" i="28" s="1"/>
  <c r="O236" i="28" s="1"/>
  <c r="C108" i="29"/>
  <c r="D108" i="29" s="1"/>
  <c r="C5" i="9"/>
  <c r="D5" i="9" s="1"/>
  <c r="E5" i="9" s="1"/>
  <c r="J304" i="29"/>
  <c r="D64" i="29"/>
  <c r="G10" i="29"/>
  <c r="G12" i="29"/>
  <c r="I242" i="29"/>
  <c r="P235" i="29"/>
  <c r="P242" i="29" s="1"/>
  <c r="I238" i="29"/>
  <c r="L132" i="31"/>
  <c r="C144" i="31"/>
  <c r="L144" i="31" s="1"/>
  <c r="E109" i="29"/>
  <c r="N153" i="28"/>
  <c r="C66" i="29"/>
  <c r="G24" i="29"/>
  <c r="L21" i="11"/>
  <c r="M99" i="31"/>
  <c r="N99" i="31" s="1"/>
  <c r="L158" i="31"/>
  <c r="M158" i="28" s="1"/>
  <c r="C126" i="31"/>
  <c r="L114" i="31"/>
  <c r="M114" i="31" s="1"/>
  <c r="N114" i="31" s="1"/>
  <c r="M150" i="28"/>
  <c r="C140" i="31"/>
  <c r="L140" i="31" s="1"/>
  <c r="L128" i="31"/>
  <c r="M251" i="28"/>
  <c r="C129" i="31"/>
  <c r="L117" i="31"/>
  <c r="M117" i="31" s="1"/>
  <c r="N117" i="31" s="1"/>
  <c r="I305" i="29"/>
  <c r="I312" i="29" s="1"/>
  <c r="I295" i="29"/>
  <c r="C6" i="9"/>
  <c r="D6" i="9" s="1"/>
  <c r="E6" i="9" s="1"/>
  <c r="C109" i="29"/>
  <c r="D109" i="29" s="1"/>
  <c r="M237" i="28"/>
  <c r="N237" i="28" s="1"/>
  <c r="O237" i="28" s="1"/>
  <c r="E5" i="11"/>
  <c r="E6" i="11" s="1"/>
  <c r="G25" i="29"/>
  <c r="C67" i="29"/>
  <c r="H223" i="29"/>
  <c r="H233" i="29"/>
  <c r="L121" i="31"/>
  <c r="M121" i="31" s="1"/>
  <c r="N121" i="31" s="1"/>
  <c r="C133" i="31"/>
  <c r="C9" i="29"/>
  <c r="N157" i="28"/>
  <c r="E113" i="29"/>
  <c r="F113" i="29" s="1"/>
  <c r="E112" i="29"/>
  <c r="F112" i="29" s="1"/>
  <c r="N156" i="28"/>
  <c r="G40" i="29"/>
  <c r="B82" i="29"/>
  <c r="N218" i="29"/>
  <c r="R218" i="29" s="1"/>
  <c r="N219" i="29"/>
  <c r="R219" i="29" s="1"/>
  <c r="N217" i="29"/>
  <c r="R217" i="29" s="1"/>
  <c r="N216" i="29"/>
  <c r="R216" i="29" s="1"/>
  <c r="N220" i="29"/>
  <c r="R220" i="29" s="1"/>
  <c r="G189" i="29"/>
  <c r="J286" i="29"/>
  <c r="C63" i="29"/>
  <c r="G9" i="29"/>
  <c r="J302" i="29"/>
  <c r="B64" i="29"/>
  <c r="G64" i="29" s="1"/>
  <c r="M35" i="11"/>
  <c r="F19" i="29" s="1"/>
  <c r="L13" i="11"/>
  <c r="H51" i="9"/>
  <c r="G14" i="17"/>
  <c r="M40" i="11" s="1"/>
  <c r="F22" i="23"/>
  <c r="B6" i="11"/>
  <c r="G14" i="9"/>
  <c r="K52" i="9"/>
  <c r="H33" i="9"/>
  <c r="K51" i="9"/>
  <c r="E168" i="29" s="1"/>
  <c r="I51" i="9"/>
  <c r="I52" i="9"/>
  <c r="C169" i="29" s="1"/>
  <c r="L59" i="9"/>
  <c r="L52" i="9"/>
  <c r="F169" i="29" s="1"/>
  <c r="J51" i="9"/>
  <c r="J52" i="9"/>
  <c r="G13" i="9"/>
  <c r="J59" i="9" l="1"/>
  <c r="D168" i="29"/>
  <c r="N150" i="28"/>
  <c r="E106" i="29"/>
  <c r="F106" i="29" s="1"/>
  <c r="C135" i="31"/>
  <c r="L135" i="31" s="1"/>
  <c r="L123" i="31"/>
  <c r="N123" i="31"/>
  <c r="C145" i="31"/>
  <c r="L145" i="31" s="1"/>
  <c r="L133" i="31"/>
  <c r="M111" i="31"/>
  <c r="N111" i="31" s="1"/>
  <c r="L159" i="31"/>
  <c r="M159" i="28" s="1"/>
  <c r="H241" i="29"/>
  <c r="H252" i="29"/>
  <c r="C137" i="31"/>
  <c r="L137" i="31" s="1"/>
  <c r="L125" i="31"/>
  <c r="E108" i="29"/>
  <c r="F108" i="29" s="1"/>
  <c r="N152" i="28"/>
  <c r="J287" i="29"/>
  <c r="D63" i="29"/>
  <c r="J60" i="9"/>
  <c r="D169" i="29"/>
  <c r="K60" i="9"/>
  <c r="E169" i="29"/>
  <c r="H251" i="29"/>
  <c r="H240" i="29"/>
  <c r="C141" i="31"/>
  <c r="L141" i="31" s="1"/>
  <c r="L129" i="31"/>
  <c r="L148" i="31" s="1"/>
  <c r="M238" i="31" s="1"/>
  <c r="C138" i="31"/>
  <c r="L138" i="31" s="1"/>
  <c r="L126" i="31"/>
  <c r="F109" i="29"/>
  <c r="B39" i="29"/>
  <c r="D39" i="29"/>
  <c r="D81" i="29" s="1"/>
  <c r="E39" i="29"/>
  <c r="E81" i="29" s="1"/>
  <c r="F39" i="29"/>
  <c r="F81" i="29" s="1"/>
  <c r="E188" i="29"/>
  <c r="D12" i="29"/>
  <c r="G110" i="29"/>
  <c r="F188" i="29"/>
  <c r="C39" i="29"/>
  <c r="C81" i="29" s="1"/>
  <c r="H235" i="29"/>
  <c r="H225" i="29"/>
  <c r="F107" i="29"/>
  <c r="M165" i="28"/>
  <c r="M249" i="28"/>
  <c r="E114" i="29"/>
  <c r="F114" i="29" s="1"/>
  <c r="N158" i="28"/>
  <c r="F191" i="29"/>
  <c r="E43" i="29"/>
  <c r="E85" i="29" s="1"/>
  <c r="B43" i="29"/>
  <c r="E191" i="29"/>
  <c r="O231" i="29"/>
  <c r="D43" i="29"/>
  <c r="D85" i="29" s="1"/>
  <c r="F43" i="29"/>
  <c r="F85" i="29" s="1"/>
  <c r="D15" i="29"/>
  <c r="C43" i="29"/>
  <c r="C85" i="29" s="1"/>
  <c r="G113" i="29"/>
  <c r="N197" i="29"/>
  <c r="C41" i="29"/>
  <c r="C83" i="29" s="1"/>
  <c r="D41" i="29"/>
  <c r="D83" i="29" s="1"/>
  <c r="E41" i="29"/>
  <c r="E83" i="29" s="1"/>
  <c r="B41" i="29"/>
  <c r="F41" i="29"/>
  <c r="F83" i="29" s="1"/>
  <c r="D14" i="29"/>
  <c r="E14" i="29" s="1"/>
  <c r="E190" i="29"/>
  <c r="F190" i="29"/>
  <c r="G112" i="29"/>
  <c r="I303" i="29"/>
  <c r="I310" i="29" s="1"/>
  <c r="I293" i="29"/>
  <c r="I59" i="9"/>
  <c r="C168" i="29"/>
  <c r="J285" i="29"/>
  <c r="B63" i="29"/>
  <c r="G63" i="29" s="1"/>
  <c r="L35" i="11"/>
  <c r="H59" i="9"/>
  <c r="B168" i="29"/>
  <c r="J307" i="29"/>
  <c r="G55" i="9"/>
  <c r="L7" i="11"/>
  <c r="L9" i="11" s="1"/>
  <c r="D18" i="29" s="1"/>
  <c r="G56" i="9"/>
  <c r="M7" i="11"/>
  <c r="M9" i="11" s="1"/>
  <c r="D19" i="29" s="1"/>
  <c r="H52" i="9"/>
  <c r="M45" i="11"/>
  <c r="F23" i="23"/>
  <c r="K59" i="9"/>
  <c r="I60" i="9"/>
  <c r="G51" i="9"/>
  <c r="L60" i="9"/>
  <c r="E185" i="29" l="1"/>
  <c r="F185" i="29"/>
  <c r="G107" i="29"/>
  <c r="B36" i="29"/>
  <c r="E36" i="29"/>
  <c r="E78" i="29" s="1"/>
  <c r="D36" i="29"/>
  <c r="D78" i="29" s="1"/>
  <c r="F36" i="29"/>
  <c r="F78" i="29" s="1"/>
  <c r="D9" i="29"/>
  <c r="C36" i="29"/>
  <c r="C78" i="29" s="1"/>
  <c r="I304" i="29"/>
  <c r="I311" i="29" s="1"/>
  <c r="I294" i="29"/>
  <c r="E184" i="29"/>
  <c r="G184" i="29" s="1"/>
  <c r="F184" i="29"/>
  <c r="G106" i="29"/>
  <c r="D35" i="29"/>
  <c r="D77" i="29" s="1"/>
  <c r="B35" i="29"/>
  <c r="F35" i="29"/>
  <c r="F77" i="29" s="1"/>
  <c r="E35" i="29"/>
  <c r="E77" i="29" s="1"/>
  <c r="C35" i="29"/>
  <c r="C77" i="29" s="1"/>
  <c r="D8" i="29"/>
  <c r="H253" i="29"/>
  <c r="H242" i="29"/>
  <c r="H269" i="29"/>
  <c r="H259" i="29"/>
  <c r="E13" i="29"/>
  <c r="G188" i="29"/>
  <c r="G39" i="29"/>
  <c r="B81" i="29"/>
  <c r="L167" i="31"/>
  <c r="M167" i="31" s="1"/>
  <c r="H268" i="29"/>
  <c r="H258" i="29"/>
  <c r="B37" i="29"/>
  <c r="C37" i="29"/>
  <c r="C79" i="29" s="1"/>
  <c r="G108" i="29"/>
  <c r="F186" i="29"/>
  <c r="D37" i="29"/>
  <c r="D79" i="29" s="1"/>
  <c r="E186" i="29"/>
  <c r="G186" i="29" s="1"/>
  <c r="F37" i="29"/>
  <c r="F79" i="29" s="1"/>
  <c r="E37" i="29"/>
  <c r="E79" i="29" s="1"/>
  <c r="D10" i="29"/>
  <c r="E10" i="29" s="1"/>
  <c r="L165" i="31"/>
  <c r="M165" i="31" s="1"/>
  <c r="L160" i="31"/>
  <c r="M160" i="28" s="1"/>
  <c r="D11" i="29"/>
  <c r="E11" i="29" s="1"/>
  <c r="C38" i="29"/>
  <c r="C80" i="29" s="1"/>
  <c r="F38" i="29"/>
  <c r="F80" i="29" s="1"/>
  <c r="B38" i="29"/>
  <c r="F187" i="29"/>
  <c r="E187" i="29"/>
  <c r="G109" i="29"/>
  <c r="D38" i="29"/>
  <c r="D80" i="29" s="1"/>
  <c r="E38" i="29"/>
  <c r="E80" i="29" s="1"/>
  <c r="L161" i="31"/>
  <c r="M161" i="28" s="1"/>
  <c r="E19" i="29"/>
  <c r="E15" i="29"/>
  <c r="G191" i="29"/>
  <c r="G41" i="29"/>
  <c r="B83" i="29"/>
  <c r="N203" i="29"/>
  <c r="N199" i="29"/>
  <c r="N202" i="29"/>
  <c r="N201" i="29"/>
  <c r="N200" i="29"/>
  <c r="O214" i="29"/>
  <c r="N231" i="29" s="1"/>
  <c r="N161" i="28"/>
  <c r="G43" i="29"/>
  <c r="B85" i="29"/>
  <c r="B44" i="29"/>
  <c r="E192" i="29"/>
  <c r="O249" i="29"/>
  <c r="E44" i="29"/>
  <c r="E86" i="29" s="1"/>
  <c r="D16" i="29"/>
  <c r="E16" i="29" s="1"/>
  <c r="F44" i="29"/>
  <c r="F86" i="29" s="1"/>
  <c r="F192" i="29"/>
  <c r="C44" i="29"/>
  <c r="C86" i="29" s="1"/>
  <c r="D44" i="29"/>
  <c r="D86" i="29" s="1"/>
  <c r="G114" i="29"/>
  <c r="G190" i="29"/>
  <c r="O233" i="29"/>
  <c r="N249" i="29"/>
  <c r="O236" i="29"/>
  <c r="O234" i="29"/>
  <c r="O235" i="29"/>
  <c r="O237" i="29"/>
  <c r="N160" i="28"/>
  <c r="M59" i="9"/>
  <c r="F18" i="29"/>
  <c r="L45" i="11"/>
  <c r="G168" i="29"/>
  <c r="H60" i="9"/>
  <c r="M60" i="9" s="1"/>
  <c r="B169" i="29"/>
  <c r="I302" i="29"/>
  <c r="J290" i="29"/>
  <c r="I292" i="29"/>
  <c r="G52" i="9"/>
  <c r="G60" i="9" s="1"/>
  <c r="F24" i="23"/>
  <c r="G59" i="9"/>
  <c r="G35" i="29" l="1"/>
  <c r="B77" i="29"/>
  <c r="E9" i="29"/>
  <c r="G36" i="29"/>
  <c r="B78" i="29"/>
  <c r="G38" i="29"/>
  <c r="B80" i="29"/>
  <c r="H275" i="29"/>
  <c r="H285" i="29"/>
  <c r="H286" i="29"/>
  <c r="H276" i="29"/>
  <c r="G187" i="29"/>
  <c r="G37" i="29"/>
  <c r="B79" i="29"/>
  <c r="E12" i="29"/>
  <c r="H260" i="29"/>
  <c r="H270" i="29"/>
  <c r="G185" i="29"/>
  <c r="G192" i="29"/>
  <c r="S234" i="29"/>
  <c r="R201" i="29"/>
  <c r="R208" i="29" s="1"/>
  <c r="O218" i="29"/>
  <c r="N208" i="29"/>
  <c r="S237" i="29"/>
  <c r="N253" i="29"/>
  <c r="R253" i="29" s="1"/>
  <c r="N251" i="29"/>
  <c r="R251" i="29" s="1"/>
  <c r="N255" i="29"/>
  <c r="R255" i="29" s="1"/>
  <c r="N252" i="29"/>
  <c r="R252" i="29" s="1"/>
  <c r="N254" i="29"/>
  <c r="R254" i="29" s="1"/>
  <c r="N237" i="29"/>
  <c r="R237" i="29" s="1"/>
  <c r="N235" i="29"/>
  <c r="R235" i="29" s="1"/>
  <c r="N234" i="29"/>
  <c r="R234" i="29" s="1"/>
  <c r="N236" i="29"/>
  <c r="R236" i="29" s="1"/>
  <c r="N233" i="29"/>
  <c r="R233" i="29" s="1"/>
  <c r="O216" i="29"/>
  <c r="N206" i="29"/>
  <c r="R199" i="29"/>
  <c r="R206" i="29" s="1"/>
  <c r="S235" i="29"/>
  <c r="N242" i="29"/>
  <c r="S233" i="29"/>
  <c r="O251" i="29"/>
  <c r="O252" i="29"/>
  <c r="O253" i="29"/>
  <c r="O255" i="29"/>
  <c r="O254" i="29"/>
  <c r="N266" i="29"/>
  <c r="N207" i="29"/>
  <c r="O217" i="29"/>
  <c r="R200" i="29"/>
  <c r="R207" i="29" s="1"/>
  <c r="O220" i="29"/>
  <c r="R203" i="29"/>
  <c r="R210" i="29" s="1"/>
  <c r="N210" i="29"/>
  <c r="S236" i="29"/>
  <c r="E115" i="29"/>
  <c r="F115" i="29" s="1"/>
  <c r="N159" i="28"/>
  <c r="G44" i="29"/>
  <c r="B86" i="29"/>
  <c r="N209" i="29"/>
  <c r="R202" i="29"/>
  <c r="R209" i="29" s="1"/>
  <c r="O219" i="29"/>
  <c r="I63" i="9"/>
  <c r="I55" i="9" s="1"/>
  <c r="L18" i="11" s="1"/>
  <c r="I307" i="29"/>
  <c r="I309" i="29"/>
  <c r="G169" i="29"/>
  <c r="G18" i="29"/>
  <c r="G19" i="29"/>
  <c r="F25" i="23"/>
  <c r="K64" i="9"/>
  <c r="I64" i="9"/>
  <c r="L64" i="9"/>
  <c r="J64" i="9"/>
  <c r="H64" i="9"/>
  <c r="K63" i="9"/>
  <c r="H63" i="9"/>
  <c r="L63" i="9"/>
  <c r="J63" i="9"/>
  <c r="H303" i="29" l="1"/>
  <c r="H310" i="29" s="1"/>
  <c r="H293" i="29"/>
  <c r="H287" i="29"/>
  <c r="H277" i="29"/>
  <c r="H302" i="29"/>
  <c r="H309" i="29" s="1"/>
  <c r="H292" i="29"/>
  <c r="N243" i="29"/>
  <c r="N240" i="29"/>
  <c r="R241" i="29"/>
  <c r="N244" i="29"/>
  <c r="S253" i="29"/>
  <c r="R260" i="29" s="1"/>
  <c r="N260" i="29"/>
  <c r="D45" i="29"/>
  <c r="D87" i="29" s="1"/>
  <c r="F45" i="29"/>
  <c r="D17" i="29"/>
  <c r="E45" i="29"/>
  <c r="E87" i="29" s="1"/>
  <c r="B45" i="29"/>
  <c r="C45" i="29"/>
  <c r="C87" i="29" s="1"/>
  <c r="E193" i="29"/>
  <c r="O266" i="29"/>
  <c r="F193" i="29"/>
  <c r="G115" i="29"/>
  <c r="N227" i="29"/>
  <c r="S220" i="29"/>
  <c r="R227" i="29" s="1"/>
  <c r="N268" i="29"/>
  <c r="R268" i="29" s="1"/>
  <c r="N271" i="29"/>
  <c r="R271" i="29" s="1"/>
  <c r="N272" i="29"/>
  <c r="R272" i="29" s="1"/>
  <c r="R279" i="29" s="1"/>
  <c r="N270" i="29"/>
  <c r="R270" i="29" s="1"/>
  <c r="N269" i="29"/>
  <c r="R269" i="29" s="1"/>
  <c r="N259" i="29"/>
  <c r="S252" i="29"/>
  <c r="R259" i="29" s="1"/>
  <c r="N223" i="29"/>
  <c r="S216" i="29"/>
  <c r="R223" i="29" s="1"/>
  <c r="R243" i="29"/>
  <c r="S254" i="29"/>
  <c r="R261" i="29" s="1"/>
  <c r="N261" i="29"/>
  <c r="N258" i="29"/>
  <c r="S251" i="29"/>
  <c r="R258" i="29" s="1"/>
  <c r="R242" i="29"/>
  <c r="R240" i="29"/>
  <c r="R244" i="29"/>
  <c r="S219" i="29"/>
  <c r="R226" i="29" s="1"/>
  <c r="N226" i="29"/>
  <c r="N224" i="29"/>
  <c r="S217" i="29"/>
  <c r="R224" i="29" s="1"/>
  <c r="S255" i="29"/>
  <c r="R262" i="29" s="1"/>
  <c r="N262" i="29"/>
  <c r="N225" i="29"/>
  <c r="S218" i="29"/>
  <c r="R225" i="29" s="1"/>
  <c r="N241" i="29"/>
  <c r="C171" i="29"/>
  <c r="C177" i="29" s="1"/>
  <c r="J55" i="9"/>
  <c r="L22" i="11" s="1"/>
  <c r="D46" i="29" s="1"/>
  <c r="D88" i="29" s="1"/>
  <c r="D171" i="29"/>
  <c r="D177" i="29" s="1"/>
  <c r="M286" i="29"/>
  <c r="C46" i="29"/>
  <c r="C88" i="29" s="1"/>
  <c r="I56" i="9"/>
  <c r="M18" i="11" s="1"/>
  <c r="C172" i="29"/>
  <c r="C178" i="29" s="1"/>
  <c r="L55" i="9"/>
  <c r="L27" i="11" s="1"/>
  <c r="E46" i="29" s="1"/>
  <c r="E88" i="29" s="1"/>
  <c r="F171" i="29"/>
  <c r="F177" i="29" s="1"/>
  <c r="H56" i="9"/>
  <c r="M14" i="11" s="1"/>
  <c r="B172" i="29"/>
  <c r="K56" i="9"/>
  <c r="E172" i="29"/>
  <c r="E178" i="29" s="1"/>
  <c r="H55" i="9"/>
  <c r="L14" i="11" s="1"/>
  <c r="B171" i="29"/>
  <c r="J56" i="9"/>
  <c r="D172" i="29"/>
  <c r="D178" i="29" s="1"/>
  <c r="K55" i="9"/>
  <c r="L32" i="11" s="1"/>
  <c r="M289" i="29" s="1"/>
  <c r="E171" i="29"/>
  <c r="E177" i="29" s="1"/>
  <c r="L56" i="9"/>
  <c r="F172" i="29"/>
  <c r="F178" i="29" s="1"/>
  <c r="F26" i="23"/>
  <c r="M67" i="9"/>
  <c r="M64" i="9"/>
  <c r="M63" i="9"/>
  <c r="H294" i="29" l="1"/>
  <c r="H304" i="29"/>
  <c r="H311" i="29" s="1"/>
  <c r="G45" i="29"/>
  <c r="B87" i="29"/>
  <c r="O270" i="29"/>
  <c r="O272" i="29"/>
  <c r="N279" i="29" s="1"/>
  <c r="O271" i="29"/>
  <c r="O268" i="29"/>
  <c r="O269" i="29"/>
  <c r="N283" i="29"/>
  <c r="G193" i="29"/>
  <c r="E17" i="29"/>
  <c r="E18" i="29"/>
  <c r="M303" i="29"/>
  <c r="C47" i="29"/>
  <c r="C89" i="29" s="1"/>
  <c r="M302" i="29"/>
  <c r="B47" i="29"/>
  <c r="M285" i="29"/>
  <c r="B46" i="29"/>
  <c r="O286" i="29"/>
  <c r="Q286" i="29"/>
  <c r="P293" i="29" s="1"/>
  <c r="L303" i="29"/>
  <c r="L293" i="29"/>
  <c r="L306" i="29"/>
  <c r="O289" i="29"/>
  <c r="L296" i="29"/>
  <c r="G171" i="29"/>
  <c r="B177" i="29"/>
  <c r="G177" i="29" s="1"/>
  <c r="G172" i="29"/>
  <c r="B178" i="29"/>
  <c r="G178" i="29" s="1"/>
  <c r="L36" i="11"/>
  <c r="F27" i="23"/>
  <c r="C12" i="18"/>
  <c r="L28" i="11" s="1"/>
  <c r="M288" i="29" s="1"/>
  <c r="C13" i="18"/>
  <c r="M28" i="11" s="1"/>
  <c r="M305" i="29" s="1"/>
  <c r="M55" i="9"/>
  <c r="B12" i="18"/>
  <c r="L23" i="11" s="1"/>
  <c r="M287" i="29" s="1"/>
  <c r="B13" i="18"/>
  <c r="M22" i="11"/>
  <c r="D47" i="29" s="1"/>
  <c r="D89" i="29" s="1"/>
  <c r="M68" i="9"/>
  <c r="M32" i="11"/>
  <c r="N275" i="29" l="1"/>
  <c r="S268" i="29"/>
  <c r="R275" i="29" s="1"/>
  <c r="S271" i="29"/>
  <c r="R278" i="29" s="1"/>
  <c r="N278" i="29"/>
  <c r="N285" i="29"/>
  <c r="R285" i="29" s="1"/>
  <c r="N288" i="29"/>
  <c r="R288" i="29" s="1"/>
  <c r="N286" i="29"/>
  <c r="R286" i="29" s="1"/>
  <c r="N287" i="29"/>
  <c r="R287" i="29" s="1"/>
  <c r="N289" i="29"/>
  <c r="N296" i="29" s="1"/>
  <c r="N276" i="29"/>
  <c r="S269" i="29"/>
  <c r="R276" i="29" s="1"/>
  <c r="S270" i="29"/>
  <c r="R277" i="29" s="1"/>
  <c r="N277" i="29"/>
  <c r="Q288" i="29"/>
  <c r="P295" i="29" s="1"/>
  <c r="L305" i="29"/>
  <c r="L312" i="29" s="1"/>
  <c r="O288" i="29"/>
  <c r="L295" i="29"/>
  <c r="B89" i="29"/>
  <c r="M306" i="29"/>
  <c r="O306" i="29" s="1"/>
  <c r="F47" i="29"/>
  <c r="O287" i="29"/>
  <c r="Q287" i="29"/>
  <c r="P294" i="29" s="1"/>
  <c r="L304" i="29"/>
  <c r="L294" i="29"/>
  <c r="N306" i="29"/>
  <c r="S286" i="29"/>
  <c r="N293" i="29"/>
  <c r="O302" i="29"/>
  <c r="Q302" i="29"/>
  <c r="B88" i="29"/>
  <c r="G46" i="29"/>
  <c r="O305" i="29"/>
  <c r="Q305" i="29"/>
  <c r="L310" i="29"/>
  <c r="N303" i="29"/>
  <c r="R303" i="29" s="1"/>
  <c r="P303" i="29"/>
  <c r="O285" i="29"/>
  <c r="Q285" i="29"/>
  <c r="P292" i="29" s="1"/>
  <c r="L302" i="29"/>
  <c r="L292" i="29"/>
  <c r="Q303" i="29"/>
  <c r="O303" i="29"/>
  <c r="L37" i="11"/>
  <c r="F28" i="23"/>
  <c r="M27" i="11"/>
  <c r="L41" i="11"/>
  <c r="L46" i="11" s="1"/>
  <c r="D12" i="18"/>
  <c r="L42" i="11" s="1"/>
  <c r="N55" i="9"/>
  <c r="O55" i="9" s="1"/>
  <c r="M56" i="9"/>
  <c r="M23" i="11"/>
  <c r="D13" i="18"/>
  <c r="M42" i="11" s="1"/>
  <c r="R293" i="29" l="1"/>
  <c r="N313" i="29"/>
  <c r="M36" i="11"/>
  <c r="E47" i="29"/>
  <c r="S285" i="29"/>
  <c r="R292" i="29" s="1"/>
  <c r="N292" i="29"/>
  <c r="P310" i="29"/>
  <c r="P304" i="29"/>
  <c r="N304" i="29"/>
  <c r="R304" i="29" s="1"/>
  <c r="S288" i="29"/>
  <c r="R295" i="29" s="1"/>
  <c r="N295" i="29"/>
  <c r="N302" i="29"/>
  <c r="R302" i="29" s="1"/>
  <c r="P302" i="29"/>
  <c r="P309" i="29" s="1"/>
  <c r="S305" i="29"/>
  <c r="L309" i="29"/>
  <c r="N305" i="29"/>
  <c r="R305" i="29" s="1"/>
  <c r="P305" i="29"/>
  <c r="P312" i="29" s="1"/>
  <c r="M37" i="11"/>
  <c r="M47" i="11" s="1"/>
  <c r="M304" i="29"/>
  <c r="S303" i="29"/>
  <c r="R310" i="29" s="1"/>
  <c r="N310" i="29"/>
  <c r="S302" i="29"/>
  <c r="L313" i="29"/>
  <c r="S287" i="29"/>
  <c r="R294" i="29" s="1"/>
  <c r="N294" i="29"/>
  <c r="F29" i="23"/>
  <c r="L47" i="11"/>
  <c r="M41" i="11"/>
  <c r="N56" i="9"/>
  <c r="O56" i="9" s="1"/>
  <c r="N309" i="29" l="1"/>
  <c r="M46" i="11"/>
  <c r="N312" i="29"/>
  <c r="O304" i="29"/>
  <c r="Q304" i="29"/>
  <c r="P311" i="29" s="1"/>
  <c r="R309" i="29"/>
  <c r="L311" i="29"/>
  <c r="E89" i="29"/>
  <c r="G47" i="29"/>
  <c r="R312" i="29"/>
  <c r="F30" i="23"/>
  <c r="S304" i="29" l="1"/>
  <c r="R311" i="29" s="1"/>
  <c r="N311" i="29"/>
  <c r="H30" i="23"/>
  <c r="G30" i="23"/>
  <c r="I4" i="23" s="1"/>
  <c r="J4" i="23" s="1"/>
  <c r="F5" i="23" l="1"/>
  <c r="G5" i="23" s="1"/>
  <c r="F31" i="23" s="1"/>
  <c r="I3" i="31" s="1"/>
  <c r="F32" i="23" l="1"/>
  <c r="I4" i="31" s="1"/>
  <c r="I3" i="28"/>
  <c r="F33" i="23" l="1"/>
  <c r="I5" i="31" s="1"/>
  <c r="I4" i="28"/>
  <c r="F34" i="23" l="1"/>
  <c r="I6" i="31" s="1"/>
  <c r="I5" i="28"/>
  <c r="F35" i="23" l="1"/>
  <c r="I7" i="31" s="1"/>
  <c r="I6" i="28"/>
  <c r="F36" i="23" l="1"/>
  <c r="I8" i="31" s="1"/>
  <c r="I7" i="28"/>
  <c r="F37" i="23" l="1"/>
  <c r="I9" i="31" s="1"/>
  <c r="I8" i="28"/>
  <c r="F38" i="23" l="1"/>
  <c r="I10" i="31" s="1"/>
  <c r="I9" i="28"/>
  <c r="F39" i="23" l="1"/>
  <c r="I11" i="31" s="1"/>
  <c r="I10" i="28"/>
  <c r="F40" i="23" l="1"/>
  <c r="I12" i="31" s="1"/>
  <c r="I11" i="28"/>
  <c r="F41" i="23" l="1"/>
  <c r="I13" i="31" s="1"/>
  <c r="I12" i="28"/>
  <c r="F42" i="23" l="1"/>
  <c r="I14" i="31" s="1"/>
  <c r="I13" i="28"/>
  <c r="H42" i="23" l="1"/>
  <c r="G42" i="23"/>
  <c r="I5" i="23" s="1"/>
  <c r="J5" i="23" s="1"/>
  <c r="F6" i="23"/>
  <c r="G6" i="23" s="1"/>
  <c r="F43" i="23" s="1"/>
  <c r="I15" i="31" s="1"/>
  <c r="I14" i="28"/>
  <c r="F44" i="23" l="1"/>
  <c r="I16" i="31" s="1"/>
  <c r="I15" i="28"/>
  <c r="F45" i="23" l="1"/>
  <c r="I17" i="31" s="1"/>
  <c r="I16" i="28"/>
  <c r="F46" i="23" l="1"/>
  <c r="I18" i="31" s="1"/>
  <c r="I17" i="28"/>
  <c r="F47" i="23" l="1"/>
  <c r="I19" i="31" s="1"/>
  <c r="I18" i="28"/>
  <c r="F48" i="23" l="1"/>
  <c r="I20" i="31" s="1"/>
  <c r="I19" i="28"/>
  <c r="F49" i="23" l="1"/>
  <c r="I21" i="31" s="1"/>
  <c r="I20" i="28"/>
  <c r="F50" i="23" l="1"/>
  <c r="I22" i="31" s="1"/>
  <c r="I21" i="28"/>
  <c r="F51" i="23" l="1"/>
  <c r="I23" i="31" s="1"/>
  <c r="I22" i="28"/>
  <c r="F52" i="23" l="1"/>
  <c r="I24" i="31" s="1"/>
  <c r="I23" i="28"/>
  <c r="F53" i="23" l="1"/>
  <c r="I25" i="31" s="1"/>
  <c r="I24" i="28"/>
  <c r="F54" i="23" l="1"/>
  <c r="I26" i="31" s="1"/>
  <c r="I25" i="28"/>
  <c r="G54" i="23" l="1"/>
  <c r="I6" i="23" s="1"/>
  <c r="J6" i="23" s="1"/>
  <c r="H54" i="23"/>
  <c r="I26" i="28"/>
  <c r="F7" i="23" l="1"/>
  <c r="G7" i="23" s="1"/>
  <c r="F55" i="23" s="1"/>
  <c r="I27" i="31" s="1"/>
  <c r="F56" i="23" l="1"/>
  <c r="I28" i="31" s="1"/>
  <c r="I27" i="28"/>
  <c r="F57" i="23" l="1"/>
  <c r="I29" i="31" s="1"/>
  <c r="I28" i="28"/>
  <c r="F58" i="23" l="1"/>
  <c r="I30" i="31" s="1"/>
  <c r="I29" i="28"/>
  <c r="F59" i="23" l="1"/>
  <c r="I31" i="31" s="1"/>
  <c r="I30" i="28"/>
  <c r="F60" i="23" l="1"/>
  <c r="I32" i="31" s="1"/>
  <c r="I31" i="28"/>
  <c r="F61" i="23" l="1"/>
  <c r="I33" i="31" s="1"/>
  <c r="I32" i="28"/>
  <c r="F62" i="23" l="1"/>
  <c r="I34" i="31" s="1"/>
  <c r="I33" i="28"/>
  <c r="F63" i="23" l="1"/>
  <c r="I35" i="31" s="1"/>
  <c r="I34" i="28"/>
  <c r="F64" i="23" l="1"/>
  <c r="I36" i="31" s="1"/>
  <c r="I35" i="28"/>
  <c r="F65" i="23" l="1"/>
  <c r="I37" i="31" s="1"/>
  <c r="I36" i="28"/>
  <c r="F66" i="23" l="1"/>
  <c r="I38" i="31" s="1"/>
  <c r="I37" i="28"/>
  <c r="I38" i="28" l="1"/>
  <c r="H66" i="23"/>
  <c r="G66" i="23"/>
  <c r="I7" i="23" s="1"/>
  <c r="J7" i="23" s="1"/>
  <c r="F8" i="23" l="1"/>
  <c r="G8" i="23" s="1"/>
  <c r="F67" i="23" s="1"/>
  <c r="I39" i="31" s="1"/>
  <c r="F68" i="23" l="1"/>
  <c r="I40" i="31" s="1"/>
  <c r="I39" i="28"/>
  <c r="F69" i="23" l="1"/>
  <c r="I41" i="31" s="1"/>
  <c r="I40" i="28"/>
  <c r="F70" i="23" l="1"/>
  <c r="I42" i="31" s="1"/>
  <c r="I41" i="28"/>
  <c r="F71" i="23" l="1"/>
  <c r="I43" i="31" s="1"/>
  <c r="I42" i="28"/>
  <c r="F72" i="23" l="1"/>
  <c r="I44" i="31" s="1"/>
  <c r="I43" i="28"/>
  <c r="F73" i="23" l="1"/>
  <c r="I45" i="31" s="1"/>
  <c r="I44" i="28"/>
  <c r="F74" i="23" l="1"/>
  <c r="I46" i="31" s="1"/>
  <c r="I45" i="28"/>
  <c r="F75" i="23" l="1"/>
  <c r="I47" i="31" s="1"/>
  <c r="I46" i="28"/>
  <c r="F76" i="23" l="1"/>
  <c r="I48" i="31" s="1"/>
  <c r="I47" i="28"/>
  <c r="F77" i="23" l="1"/>
  <c r="I49" i="31" s="1"/>
  <c r="I48" i="28"/>
  <c r="F78" i="23" l="1"/>
  <c r="I50" i="31" s="1"/>
  <c r="I49" i="28"/>
  <c r="G78" i="23" l="1"/>
  <c r="I8" i="23" s="1"/>
  <c r="J8" i="23" s="1"/>
  <c r="I50" i="28"/>
  <c r="H78" i="23"/>
  <c r="F9" i="23" l="1"/>
  <c r="G9" i="23" s="1"/>
  <c r="F79" i="23" s="1"/>
  <c r="I51" i="31" s="1"/>
  <c r="F80" i="23" l="1"/>
  <c r="I52" i="31" s="1"/>
  <c r="I51" i="28"/>
  <c r="F81" i="23" l="1"/>
  <c r="I53" i="31" s="1"/>
  <c r="I52" i="28"/>
  <c r="F82" i="23" l="1"/>
  <c r="I54" i="31" s="1"/>
  <c r="I53" i="28"/>
  <c r="F83" i="23" l="1"/>
  <c r="I55" i="31" s="1"/>
  <c r="I54" i="28"/>
  <c r="F84" i="23" l="1"/>
  <c r="I56" i="31" s="1"/>
  <c r="I55" i="28"/>
  <c r="F85" i="23" l="1"/>
  <c r="I57" i="31" s="1"/>
  <c r="I56" i="28"/>
  <c r="F86" i="23" l="1"/>
  <c r="I58" i="31" s="1"/>
  <c r="I57" i="28"/>
  <c r="F87" i="23" l="1"/>
  <c r="I59" i="31" s="1"/>
  <c r="I58" i="28"/>
  <c r="F88" i="23" l="1"/>
  <c r="I60" i="31" s="1"/>
  <c r="I59" i="28"/>
  <c r="F89" i="23" l="1"/>
  <c r="I61" i="31" s="1"/>
  <c r="I60" i="28"/>
  <c r="F90" i="23" l="1"/>
  <c r="I62" i="31" s="1"/>
  <c r="I61" i="28"/>
  <c r="I62" i="28" l="1"/>
  <c r="H90" i="23"/>
  <c r="G90" i="23"/>
  <c r="I9" i="23" s="1"/>
  <c r="J9" i="23" s="1"/>
  <c r="F10" i="23" l="1"/>
  <c r="G10" i="23" s="1"/>
  <c r="F91" i="23" s="1"/>
  <c r="I63" i="31" s="1"/>
  <c r="F92" i="23" l="1"/>
  <c r="I64" i="31" s="1"/>
  <c r="I63" i="28"/>
  <c r="F93" i="23" l="1"/>
  <c r="I65" i="31" s="1"/>
  <c r="I64" i="28"/>
  <c r="F94" i="23" l="1"/>
  <c r="I66" i="31" s="1"/>
  <c r="I65" i="28"/>
  <c r="F95" i="23" l="1"/>
  <c r="I67" i="31" s="1"/>
  <c r="I66" i="28"/>
  <c r="F96" i="23" l="1"/>
  <c r="I68" i="31" s="1"/>
  <c r="I67" i="28"/>
  <c r="F97" i="23" l="1"/>
  <c r="I69" i="31" s="1"/>
  <c r="I68" i="28"/>
  <c r="F98" i="23" l="1"/>
  <c r="I70" i="31" s="1"/>
  <c r="I69" i="28"/>
  <c r="F99" i="23" l="1"/>
  <c r="I71" i="31" s="1"/>
  <c r="I70" i="28"/>
  <c r="F100" i="23" l="1"/>
  <c r="I72" i="31" s="1"/>
  <c r="I71" i="28"/>
  <c r="F101" i="23" l="1"/>
  <c r="I73" i="31" s="1"/>
  <c r="I72" i="28"/>
  <c r="F102" i="23" l="1"/>
  <c r="I74" i="31" s="1"/>
  <c r="I73" i="28"/>
  <c r="I74" i="28" l="1"/>
  <c r="H102" i="23"/>
  <c r="G102" i="23"/>
  <c r="I10" i="23" s="1"/>
  <c r="J10" i="23" s="1"/>
  <c r="F11" i="23" l="1"/>
  <c r="G11" i="23" s="1"/>
  <c r="F103" i="23" s="1"/>
  <c r="I75" i="31" s="1"/>
  <c r="F104" i="23" l="1"/>
  <c r="I76" i="31" s="1"/>
  <c r="I75" i="28"/>
  <c r="F105" i="23" l="1"/>
  <c r="I77" i="31" s="1"/>
  <c r="I76" i="28"/>
  <c r="F106" i="23" l="1"/>
  <c r="I78" i="31" s="1"/>
  <c r="I77" i="28"/>
  <c r="F107" i="23" l="1"/>
  <c r="I79" i="31" s="1"/>
  <c r="I78" i="28"/>
  <c r="F108" i="23" l="1"/>
  <c r="I80" i="31" s="1"/>
  <c r="I79" i="28"/>
  <c r="F109" i="23" l="1"/>
  <c r="I81" i="31" s="1"/>
  <c r="I80" i="28"/>
  <c r="F110" i="23" l="1"/>
  <c r="I82" i="31" s="1"/>
  <c r="I81" i="28"/>
  <c r="F111" i="23" l="1"/>
  <c r="I83" i="31" s="1"/>
  <c r="I82" i="28"/>
  <c r="F112" i="23" l="1"/>
  <c r="I84" i="31" s="1"/>
  <c r="I83" i="28"/>
  <c r="F113" i="23" l="1"/>
  <c r="I85" i="31" s="1"/>
  <c r="I84" i="28"/>
  <c r="F114" i="23" l="1"/>
  <c r="I86" i="31" s="1"/>
  <c r="I85" i="28"/>
  <c r="I86" i="28" l="1"/>
  <c r="H114" i="23"/>
  <c r="F12" i="23" s="1"/>
  <c r="G12" i="23" s="1"/>
  <c r="F115" i="23" s="1"/>
  <c r="I87" i="31" s="1"/>
  <c r="G114" i="23"/>
  <c r="I11" i="23" s="1"/>
  <c r="J11" i="23" s="1"/>
  <c r="I87" i="28" l="1"/>
  <c r="F116" i="23"/>
  <c r="I88" i="31" s="1"/>
  <c r="I88" i="28" l="1"/>
  <c r="F117" i="23"/>
  <c r="I89" i="31" s="1"/>
  <c r="I89" i="28" l="1"/>
  <c r="F118" i="23"/>
  <c r="I90" i="31" s="1"/>
  <c r="F119" i="23" l="1"/>
  <c r="I91" i="31" s="1"/>
  <c r="I90" i="28"/>
  <c r="F120" i="23" l="1"/>
  <c r="I92" i="31" s="1"/>
  <c r="I91" i="28"/>
  <c r="F121" i="23" l="1"/>
  <c r="I93" i="31" s="1"/>
  <c r="I92" i="28"/>
  <c r="F122" i="23" l="1"/>
  <c r="I94" i="31" s="1"/>
  <c r="I93" i="28"/>
  <c r="F123" i="23" l="1"/>
  <c r="I95" i="31" s="1"/>
  <c r="I94" i="28"/>
  <c r="F124" i="23" l="1"/>
  <c r="I96" i="31" s="1"/>
  <c r="I95" i="28"/>
  <c r="F125" i="23" l="1"/>
  <c r="I97" i="31" s="1"/>
  <c r="I96" i="28"/>
  <c r="F126" i="23" l="1"/>
  <c r="I98" i="31" s="1"/>
  <c r="I97" i="28"/>
  <c r="I98" i="28" l="1"/>
  <c r="H126" i="23"/>
  <c r="F13" i="23" s="1"/>
  <c r="G13" i="23" s="1"/>
  <c r="F127" i="23" s="1"/>
  <c r="I99" i="31" s="1"/>
  <c r="G126" i="23"/>
  <c r="I12" i="23" s="1"/>
  <c r="J12" i="23" s="1"/>
  <c r="I99" i="28" l="1"/>
  <c r="F128" i="23"/>
  <c r="I100" i="31" s="1"/>
  <c r="I100" i="28" l="1"/>
  <c r="F129" i="23"/>
  <c r="I101" i="31" s="1"/>
  <c r="I101" i="28" l="1"/>
  <c r="F130" i="23"/>
  <c r="I102" i="31" s="1"/>
  <c r="F131" i="23" l="1"/>
  <c r="I103" i="31" s="1"/>
  <c r="I102" i="28"/>
  <c r="F132" i="23" l="1"/>
  <c r="I104" i="31" s="1"/>
  <c r="I103" i="28"/>
  <c r="F133" i="23" l="1"/>
  <c r="I105" i="31" s="1"/>
  <c r="I104" i="28"/>
  <c r="F134" i="23" l="1"/>
  <c r="I106" i="31" s="1"/>
  <c r="I105" i="28"/>
  <c r="F135" i="23" l="1"/>
  <c r="I107" i="31" s="1"/>
  <c r="I106" i="28"/>
  <c r="F136" i="23" l="1"/>
  <c r="I108" i="31" s="1"/>
  <c r="I107" i="28"/>
  <c r="F137" i="23" l="1"/>
  <c r="I109" i="31" s="1"/>
  <c r="I108" i="28"/>
  <c r="F138" i="23" l="1"/>
  <c r="I110" i="31" s="1"/>
  <c r="I109" i="28"/>
  <c r="I110" i="28" l="1"/>
  <c r="H138" i="23"/>
  <c r="F14" i="23" s="1"/>
  <c r="G14" i="23" s="1"/>
  <c r="F139" i="23" s="1"/>
  <c r="I111" i="31" s="1"/>
  <c r="G138" i="23"/>
  <c r="I13" i="23" s="1"/>
  <c r="J13" i="23" s="1"/>
  <c r="I111" i="28" l="1"/>
  <c r="F140" i="23"/>
  <c r="I112" i="31" s="1"/>
  <c r="I112" i="28" l="1"/>
  <c r="F141" i="23"/>
  <c r="I113" i="31" s="1"/>
  <c r="I113" i="28" l="1"/>
  <c r="F142" i="23"/>
  <c r="I114" i="31" s="1"/>
  <c r="F143" i="23" l="1"/>
  <c r="I115" i="31" s="1"/>
  <c r="I114" i="28"/>
  <c r="F144" i="23" l="1"/>
  <c r="I116" i="31" s="1"/>
  <c r="I115" i="28"/>
  <c r="F145" i="23" l="1"/>
  <c r="I117" i="31" s="1"/>
  <c r="I116" i="28"/>
  <c r="F146" i="23" l="1"/>
  <c r="I118" i="31" s="1"/>
  <c r="I117" i="28"/>
  <c r="F147" i="23" l="1"/>
  <c r="I119" i="31" s="1"/>
  <c r="I118" i="28"/>
  <c r="F148" i="23" l="1"/>
  <c r="I120" i="31" s="1"/>
  <c r="I119" i="28"/>
  <c r="F149" i="23" l="1"/>
  <c r="I121" i="31" s="1"/>
  <c r="I120" i="28"/>
  <c r="F150" i="23" l="1"/>
  <c r="I122" i="31" s="1"/>
  <c r="I121" i="28"/>
  <c r="I122" i="28" l="1"/>
  <c r="H150" i="23"/>
  <c r="G150" i="23"/>
  <c r="I14" i="23" s="1"/>
  <c r="J14" i="23" s="1"/>
</calcChain>
</file>

<file path=xl/sharedStrings.xml><?xml version="1.0" encoding="utf-8"?>
<sst xmlns="http://schemas.openxmlformats.org/spreadsheetml/2006/main" count="427" uniqueCount="206">
  <si>
    <t>Purchased</t>
  </si>
  <si>
    <t>Loss Factor</t>
  </si>
  <si>
    <t>Total Billed</t>
  </si>
  <si>
    <t>Heating Degree Days</t>
  </si>
  <si>
    <t>Cooling Degree Days</t>
  </si>
  <si>
    <t>Number of Days in Month</t>
  </si>
  <si>
    <t>Ontario Real GDP Monthly %</t>
  </si>
  <si>
    <t>Purchases</t>
  </si>
  <si>
    <t>Modeled Purchases</t>
  </si>
  <si>
    <t>% Difference</t>
  </si>
  <si>
    <t>Total</t>
  </si>
  <si>
    <t xml:space="preserve">Predicted Purchases </t>
  </si>
  <si>
    <t>Variances (kWh)</t>
  </si>
  <si>
    <t>% Variance</t>
  </si>
  <si>
    <t>Average</t>
  </si>
  <si>
    <t xml:space="preserve">Geomean </t>
  </si>
  <si>
    <t>Usage Per Customer</t>
  </si>
  <si>
    <t xml:space="preserve">Total </t>
  </si>
  <si>
    <t xml:space="preserve">Used </t>
  </si>
  <si>
    <t>Spring Fall Flag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</si>
  <si>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</si>
  <si>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</si>
  <si>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</si>
  <si>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</si>
  <si>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</si>
  <si>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</si>
  <si>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</si>
  <si>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</si>
  <si>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</si>
  <si>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</si>
  <si>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</si>
  <si>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</si>
  <si>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</si>
  <si>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</si>
  <si>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</si>
  <si>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</si>
  <si>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</si>
  <si>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</si>
  <si>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</si>
  <si>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</si>
  <si>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</si>
  <si>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Difference</t>
  </si>
  <si>
    <t xml:space="preserve">Growth Rate in Customer Numbers </t>
  </si>
  <si>
    <t>Weather Corrected Forecast</t>
  </si>
  <si>
    <t>Non Weather Corrected Forecast</t>
  </si>
  <si>
    <t>% Weather Sensitive</t>
  </si>
  <si>
    <t>Allocation of Weather Sensitive Amount</t>
  </si>
  <si>
    <t xml:space="preserve">  Customers</t>
  </si>
  <si>
    <t xml:space="preserve">  kWh</t>
  </si>
  <si>
    <t xml:space="preserve">  kW</t>
  </si>
  <si>
    <t xml:space="preserve">2007 Actual </t>
  </si>
  <si>
    <t xml:space="preserve">  kW from applicable classes</t>
  </si>
  <si>
    <t xml:space="preserve">  Customer/Connections</t>
  </si>
  <si>
    <t>Actual kWh Purchases</t>
  </si>
  <si>
    <t>Predicted kWh Purchases</t>
  </si>
  <si>
    <t>By Class</t>
  </si>
  <si>
    <t>Used</t>
  </si>
  <si>
    <t>kW/kWh</t>
  </si>
  <si>
    <t>Check totals above sould be zero</t>
  </si>
  <si>
    <t>2008 Actual</t>
  </si>
  <si>
    <t>Number of Customers</t>
  </si>
  <si>
    <t>Residential</t>
  </si>
  <si>
    <t>GS&lt;50</t>
  </si>
  <si>
    <t>GS&gt;50</t>
  </si>
  <si>
    <t>USL</t>
  </si>
  <si>
    <t>Streetlights</t>
  </si>
  <si>
    <t xml:space="preserve">2009 Actual </t>
  </si>
  <si>
    <t xml:space="preserve">  Connections</t>
  </si>
  <si>
    <t>Total of Above</t>
  </si>
  <si>
    <t>Total from Model</t>
  </si>
  <si>
    <t>Check should all be zero</t>
  </si>
  <si>
    <t xml:space="preserve">2010 Actual </t>
  </si>
  <si>
    <t>May want to be consistent with proposed loss factor</t>
  </si>
  <si>
    <t>CDM Activity</t>
  </si>
  <si>
    <t xml:space="preserve">2011 Actual </t>
  </si>
  <si>
    <t>Pulp Mill Flag</t>
  </si>
  <si>
    <t>Total Annual CDM Results</t>
  </si>
  <si>
    <t>Increase over previous year</t>
  </si>
  <si>
    <t>Check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</si>
  <si>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</si>
  <si>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</si>
  <si>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</si>
  <si>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</si>
  <si>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</si>
  <si>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</si>
  <si>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</si>
  <si>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</si>
  <si>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</si>
  <si>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</si>
  <si>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</si>
  <si>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CDM Activity Variable</t>
  </si>
  <si>
    <t>Dec</t>
  </si>
  <si>
    <t>Sioux Lookout Load Forecast for 2013 Rate Application</t>
  </si>
  <si>
    <t>Not used</t>
  </si>
  <si>
    <t>kWh</t>
  </si>
  <si>
    <t>kW</t>
  </si>
  <si>
    <t>Uplifted kWh</t>
  </si>
  <si>
    <t>MAPE</t>
  </si>
  <si>
    <t>Summary of Degree Day Information</t>
  </si>
  <si>
    <t>Summary of All Heating Degree Days</t>
  </si>
  <si>
    <t>Month</t>
  </si>
  <si>
    <t>20 Year Trend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</si>
  <si>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</si>
  <si>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</si>
  <si>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</si>
  <si>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</si>
  <si>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</si>
  <si>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</si>
  <si>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</si>
  <si>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</si>
  <si>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</si>
  <si>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</si>
  <si>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</si>
  <si>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Summary of All Cooling Degree Days</t>
  </si>
  <si>
    <t xml:space="preserve">2012 Actual </t>
  </si>
  <si>
    <t xml:space="preserve">2013 Actual </t>
  </si>
  <si>
    <t>Sioux Lookout Hydro Inc. Weather Normal Load Forecast for 2018 Rate Application</t>
  </si>
  <si>
    <t>Annual Average Number of Customers/Connections</t>
  </si>
  <si>
    <t>Total IESO/OPA Annual CDM Results 2006 to 2010 programs</t>
  </si>
  <si>
    <t>Total IESO/OPA Annual CDM Results 2011 to 2014 programs</t>
  </si>
  <si>
    <t>Total IESO/OPA Annual CDM Results 2015 programs</t>
  </si>
  <si>
    <t>Total to 2016</t>
  </si>
  <si>
    <t>CDM Plan Full Year</t>
  </si>
  <si>
    <t>CDM Adjustment</t>
  </si>
  <si>
    <t xml:space="preserve">2014 Actual </t>
  </si>
  <si>
    <t xml:space="preserve">2015 Actual </t>
  </si>
  <si>
    <t xml:space="preserve">2016 Actual </t>
  </si>
  <si>
    <t>2017 Bridge Normalized</t>
  </si>
  <si>
    <t>2018 Bridge Normalized</t>
  </si>
  <si>
    <t xml:space="preserve">Losses </t>
  </si>
  <si>
    <t xml:space="preserve">CDM Adjustment Billed </t>
  </si>
  <si>
    <t>Billed kWh After CDM</t>
  </si>
  <si>
    <t>Number of Peak Hours</t>
  </si>
  <si>
    <t>Table 3-2: Summary of Load and Customer/Connection Forecast</t>
  </si>
  <si>
    <t>Year</t>
  </si>
  <si>
    <t>Billed 
Actual
(GWh)</t>
  </si>
  <si>
    <t>Growth 
(GWh)</t>
  </si>
  <si>
    <t>Billed 
Weather 
Normal
(GWh)</t>
  </si>
  <si>
    <t>Customer/
Connection
Count</t>
  </si>
  <si>
    <t xml:space="preserve">Growth </t>
  </si>
  <si>
    <t>Billed Energy (GWh) and Customer Count / Connections</t>
  </si>
  <si>
    <t>Table 3-3 Billed Energy by Rate Class</t>
  </si>
  <si>
    <t>Street 
Lights</t>
  </si>
  <si>
    <t>Billed Energy (GWh) - Actual</t>
  </si>
  <si>
    <t>Billed Energy (GWh) - Weather Normal</t>
  </si>
  <si>
    <t>Table 3-4: Number of Customers/Connections  and Annual Normalized Usage by Rate Class</t>
  </si>
  <si>
    <t>Number of Customers/Connections</t>
  </si>
  <si>
    <t>Actual Annual Energy Usage per Customer/Connection (kWh per customer/connection)</t>
  </si>
  <si>
    <t>Normalized Annual Energy Usage per Customer/Connection (kWh per customer/connection)</t>
  </si>
  <si>
    <t>Table 3-5: Statistcial Results</t>
  </si>
  <si>
    <t>F Test</t>
  </si>
  <si>
    <t xml:space="preserve">MAPE (Monthly) </t>
  </si>
  <si>
    <t>T-stats by Coefficient</t>
  </si>
  <si>
    <t>Constant</t>
  </si>
  <si>
    <t>Table 3-6: Total System Purchases Excluding Large Use</t>
  </si>
  <si>
    <t xml:space="preserve">Actual </t>
  </si>
  <si>
    <t xml:space="preserve">Predicted </t>
  </si>
  <si>
    <t>Predicted 
Weather 
Normal</t>
  </si>
  <si>
    <t>Weather 
Normal Conversion 
Factor</t>
  </si>
  <si>
    <t>Actual 
Weather 
Normal</t>
  </si>
  <si>
    <t>Purchased Energy (GWh)</t>
  </si>
  <si>
    <t>2017 Programs</t>
  </si>
  <si>
    <t>Total Applicaable to Target</t>
  </si>
  <si>
    <t>Total Including Persistence</t>
  </si>
  <si>
    <t>Table 3-20: 2017 Expected CDM Savings by Rate Class for LRAM Variance Account</t>
  </si>
  <si>
    <t xml:space="preserve">Table 3-21: Alignment of Non-normal to Weather Normal Forecast </t>
  </si>
  <si>
    <t>Non-normalized Weather Billed Energy Forecast (GWh)</t>
  </si>
  <si>
    <t>Weather Adjustment (GWh)</t>
  </si>
  <si>
    <t>CDM Adjustment (GWh)</t>
  </si>
  <si>
    <t>Weather Normalized Billed Energy Forecast (GWh)</t>
  </si>
  <si>
    <t>Table 3-22: Historical Annual kW per Applicable Rate Class</t>
  </si>
  <si>
    <t>Billed Annual kW</t>
  </si>
  <si>
    <t>Actual</t>
  </si>
  <si>
    <t>Weather Normal</t>
  </si>
  <si>
    <t>Billing Quantiites</t>
  </si>
  <si>
    <t>Customers / 
Connections</t>
  </si>
  <si>
    <t>Units</t>
  </si>
  <si>
    <t>Volume</t>
  </si>
  <si>
    <t xml:space="preserve">Volume Weather Normal </t>
  </si>
  <si>
    <t>Annual Usage Per Customer / Connection</t>
  </si>
  <si>
    <t>Annual Usage Per Customer / Connection Weather Normal</t>
  </si>
  <si>
    <t>2012 Actual</t>
  </si>
  <si>
    <t>Variance</t>
  </si>
  <si>
    <t>2017 Bridge</t>
  </si>
  <si>
    <t>2018 Test</t>
  </si>
  <si>
    <t>Weather Noraml Factor</t>
  </si>
  <si>
    <t>2018 WN - 20 year trend</t>
  </si>
  <si>
    <t>2013 Board Approved</t>
  </si>
  <si>
    <t>Unmetered Scattered Load</t>
  </si>
  <si>
    <t>2018 Programs</t>
  </si>
  <si>
    <t>Table 3-15: 2017-2018 Expected Full Year Total kWh Savings</t>
  </si>
  <si>
    <t>Table 3-19: Manual CDM Adjustment by Rate Class (kWh)</t>
  </si>
  <si>
    <t>2018 Test - kWh</t>
  </si>
  <si>
    <t>2018 Test - kW Annual</t>
  </si>
  <si>
    <t>2018 Test - kW Monthly</t>
  </si>
  <si>
    <t>Table 3-16: 2017-2018 Expected Full Year Residential kWh Savings</t>
  </si>
  <si>
    <t>Table 3-17: 2017-2018 Expected Full Year GS &lt; 50 KW kWh Savings</t>
  </si>
  <si>
    <t>Table 3-18: 2017-2018 Expected Full Year GS &gt; 50 KW kWh Savings</t>
  </si>
  <si>
    <t>Table 3-27: Comparison 2013 Actual to 2013 Board Approved</t>
  </si>
  <si>
    <t>Table 3-29: Comparison 2012 Actual to 2013 Actual</t>
  </si>
  <si>
    <t>Table 3-31: Comparison 2013 Actual to 2014 Actual</t>
  </si>
  <si>
    <t>Table 3-33: Comparison 2014 Actual to 2015 Actual</t>
  </si>
  <si>
    <t>Table 3-35: Comparison 2015 Actual to 2016 Actual</t>
  </si>
  <si>
    <t>Table 3-37: Comparison 2016 Actual to 2017 Bridge</t>
  </si>
  <si>
    <t>Table 3-39: Comparison 2017 Bridge to 2018 Test</t>
  </si>
  <si>
    <t>2018 Bridge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</si>
</sst>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#,##0;\(#,##0\)"/>
    <numFmt numFmtId="166" formatCode="0.0000"/>
    <numFmt numFmtId="167" formatCode="#,##0.0000"/>
    <numFmt numFmtId="168" formatCode="0.0000%"/>
    <numFmt numFmtId="169" formatCode="_(* #,##0.0_);_(* \(#,##0.0\);_(* &quot;-&quot;??_);_(@_)"/>
    <numFmt numFmtId="170" formatCode="_(* #,##0_);_(* \(#,##0\);_(* &quot;-&quot;??_);_(@_)"/>
    <numFmt numFmtId="171" formatCode="_-* #,##0_-;\-* #,##0_-;_-* &quot;-&quot;??_-;_-@_-"/>
    <numFmt numFmtId="172" formatCode="#,##0.0;\-#,##0.0"/>
    <numFmt numFmtId="173" formatCode="#,##0.0"/>
    <numFmt numFmtId="174" formatCode="0.0;\(0.0\)"/>
    <numFmt numFmtId="175" formatCode="0;\(0\)"/>
    <numFmt numFmtId="176" formatCode="0.0"/>
    <numFmt numFmtId="177" formatCode="0.0%;\(0.0%\)"/>
    <numFmt numFmtId="178" formatCode="#,##0.0;\(#,##0.0\)"/>
    <numFmt numFmtId="179" formatCode="#,000;\(#,000\)"/>
    <numFmt numFmtId="180" formatCode="mm/dd/yyyy"/>
    <numFmt numFmtId="181" formatCode="0\-0"/>
    <numFmt numFmtId="182" formatCode="##\-#"/>
    <numFmt numFmtId="183" formatCode="&quot;£ &quot;#,##0.00;[Red]\-&quot;£ &quot;#,##0.00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i/>
      <sz val="8"/>
      <name val="Arial"/>
      <family val="2"/>
    </font>
    <font>
      <b/>
      <u/>
      <sz val="8"/>
      <name val="Arial"/>
      <family val="2"/>
    </font>
    <font>
      <b/>
      <sz val="8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4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02">
    <xf numFmtId="0" fontId="0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9" fillId="0" borderId="0"/>
    <xf numFmtId="0" fontId="3" fillId="0" borderId="0"/>
    <xf numFmtId="0" fontId="2" fillId="0" borderId="0"/>
    <xf numFmtId="9" fontId="3" fillId="0" borderId="0" applyFont="0" applyFill="0" applyBorder="0" applyAlignment="0" applyProtection="0"/>
    <xf numFmtId="0" fontId="3" fillId="0" borderId="0"/>
    <xf numFmtId="0" fontId="30" fillId="0" borderId="0"/>
    <xf numFmtId="0" fontId="3" fillId="0" borderId="0"/>
    <xf numFmtId="0" fontId="1" fillId="0" borderId="0"/>
    <xf numFmtId="9" fontId="3" fillId="0" borderId="0" applyFont="0" applyFill="0" applyBorder="0" applyAlignment="0" applyProtection="0"/>
    <xf numFmtId="169" fontId="3" fillId="0" borderId="0"/>
    <xf numFmtId="173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80" fontId="3" fillId="0" borderId="0"/>
    <xf numFmtId="181" fontId="3" fillId="0" borderId="0"/>
    <xf numFmtId="180" fontId="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29" fillId="14" borderId="0" applyNumberFormat="0" applyBorder="0" applyAlignment="0" applyProtection="0"/>
    <xf numFmtId="0" fontId="29" fillId="18" borderId="0" applyNumberFormat="0" applyBorder="0" applyAlignment="0" applyProtection="0"/>
    <xf numFmtId="0" fontId="29" fillId="22" borderId="0" applyNumberFormat="0" applyBorder="0" applyAlignment="0" applyProtection="0"/>
    <xf numFmtId="0" fontId="29" fillId="26" borderId="0" applyNumberFormat="0" applyBorder="0" applyAlignment="0" applyProtection="0"/>
    <xf numFmtId="0" fontId="29" fillId="30" borderId="0" applyNumberFormat="0" applyBorder="0" applyAlignment="0" applyProtection="0"/>
    <xf numFmtId="0" fontId="29" fillId="34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9" borderId="0" applyNumberFormat="0" applyBorder="0" applyAlignment="0" applyProtection="0"/>
    <xf numFmtId="0" fontId="29" fillId="23" borderId="0" applyNumberFormat="0" applyBorder="0" applyAlignment="0" applyProtection="0"/>
    <xf numFmtId="0" fontId="29" fillId="27" borderId="0" applyNumberFormat="0" applyBorder="0" applyAlignment="0" applyProtection="0"/>
    <xf numFmtId="0" fontId="29" fillId="31" borderId="0" applyNumberFormat="0" applyBorder="0" applyAlignment="0" applyProtection="0"/>
    <xf numFmtId="0" fontId="19" fillId="5" borderId="0" applyNumberFormat="0" applyBorder="0" applyAlignment="0" applyProtection="0"/>
    <xf numFmtId="0" fontId="23" fillId="8" borderId="11" applyNumberFormat="0" applyAlignment="0" applyProtection="0"/>
    <xf numFmtId="0" fontId="25" fillId="9" borderId="14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18" fillId="4" borderId="0" applyNumberFormat="0" applyBorder="0" applyAlignment="0" applyProtection="0"/>
    <xf numFmtId="38" fontId="10" fillId="35" borderId="0" applyNumberFormat="0" applyBorder="0" applyAlignment="0" applyProtection="0"/>
    <xf numFmtId="38" fontId="10" fillId="35" borderId="0" applyNumberFormat="0" applyBorder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7" fillId="0" borderId="0" applyNumberFormat="0" applyFill="0" applyBorder="0" applyAlignment="0" applyProtection="0"/>
    <xf numFmtId="10" fontId="10" fillId="36" borderId="1" applyNumberFormat="0" applyBorder="0" applyAlignment="0" applyProtection="0"/>
    <xf numFmtId="10" fontId="10" fillId="36" borderId="1" applyNumberFormat="0" applyBorder="0" applyAlignment="0" applyProtection="0"/>
    <xf numFmtId="0" fontId="21" fillId="7" borderId="11" applyNumberFormat="0" applyAlignment="0" applyProtection="0"/>
    <xf numFmtId="0" fontId="24" fillId="0" borderId="13" applyNumberFormat="0" applyFill="0" applyAlignment="0" applyProtection="0"/>
    <xf numFmtId="182" fontId="3" fillId="0" borderId="0"/>
    <xf numFmtId="170" fontId="3" fillId="0" borderId="0"/>
    <xf numFmtId="182" fontId="3" fillId="0" borderId="0"/>
    <xf numFmtId="182" fontId="3" fillId="0" borderId="0"/>
    <xf numFmtId="182" fontId="3" fillId="0" borderId="0"/>
    <xf numFmtId="182" fontId="3" fillId="0" borderId="0"/>
    <xf numFmtId="0" fontId="20" fillId="6" borderId="0" applyNumberFormat="0" applyBorder="0" applyAlignment="0" applyProtection="0"/>
    <xf numFmtId="183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10" borderId="15" applyNumberFormat="0" applyFont="0" applyAlignment="0" applyProtection="0"/>
    <xf numFmtId="0" fontId="22" fillId="8" borderId="12" applyNumberFormat="0" applyAlignment="0" applyProtection="0"/>
    <xf numFmtId="10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37" borderId="1" applyNumberFormat="0" applyProtection="0">
      <alignment horizontal="left" vertical="center"/>
    </xf>
    <xf numFmtId="0" fontId="33" fillId="0" borderId="0" applyNumberFormat="0" applyBorder="0" applyAlignment="0"/>
    <xf numFmtId="0" fontId="34" fillId="0" borderId="0" applyNumberFormat="0" applyBorder="0" applyAlignment="0"/>
    <xf numFmtId="0" fontId="35" fillId="0" borderId="0" applyNumberFormat="0" applyBorder="0" applyAlignment="0"/>
    <xf numFmtId="0" fontId="36" fillId="0" borderId="19">
      <alignment horizontal="center" vertical="center"/>
    </xf>
    <xf numFmtId="0" fontId="14" fillId="0" borderId="0" applyNumberFormat="0" applyFill="0" applyBorder="0" applyAlignment="0" applyProtection="0"/>
    <xf numFmtId="0" fontId="28" fillId="0" borderId="16" applyNumberFormat="0" applyFill="0" applyAlignment="0" applyProtection="0"/>
    <xf numFmtId="0" fontId="26" fillId="0" borderId="0" applyNumberFormat="0" applyFill="0" applyBorder="0" applyAlignment="0" applyProtection="0"/>
  </cellStyleXfs>
  <cellXfs count="204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6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5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 wrapText="1"/>
    </xf>
    <xf numFmtId="3" fontId="5" fillId="0" borderId="0" xfId="0" applyNumberFormat="1" applyFont="1" applyAlignment="1">
      <alignment horizontal="center" wrapText="1"/>
    </xf>
    <xf numFmtId="37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 wrapText="1"/>
    </xf>
    <xf numFmtId="3" fontId="3" fillId="0" borderId="0" xfId="1" applyNumberFormat="1" applyAlignment="1">
      <alignment horizontal="center"/>
    </xf>
    <xf numFmtId="17" fontId="4" fillId="0" borderId="0" xfId="0" applyNumberFormat="1" applyFont="1"/>
    <xf numFmtId="0" fontId="4" fillId="0" borderId="0" xfId="0" applyFont="1"/>
    <xf numFmtId="10" fontId="0" fillId="0" borderId="0" xfId="0" applyNumberFormat="1" applyAlignment="1">
      <alignment horizontal="center"/>
    </xf>
    <xf numFmtId="1" fontId="0" fillId="0" borderId="0" xfId="0" applyNumberFormat="1"/>
    <xf numFmtId="37" fontId="4" fillId="0" borderId="0" xfId="0" applyNumberFormat="1" applyFont="1" applyFill="1" applyAlignment="1">
      <alignment horizontal="center"/>
    </xf>
    <xf numFmtId="0" fontId="6" fillId="0" borderId="0" xfId="0" applyFont="1"/>
    <xf numFmtId="0" fontId="6" fillId="0" borderId="0" xfId="0" applyFont="1" applyAlignment="1"/>
    <xf numFmtId="17" fontId="6" fillId="0" borderId="0" xfId="0" applyNumberFormat="1" applyFont="1"/>
    <xf numFmtId="0" fontId="0" fillId="0" borderId="0" xfId="0" applyFill="1" applyAlignment="1">
      <alignment horizontal="center"/>
    </xf>
    <xf numFmtId="166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3" fontId="0" fillId="0" borderId="0" xfId="0" applyNumberFormat="1" applyFill="1" applyAlignment="1">
      <alignment horizontal="center"/>
    </xf>
    <xf numFmtId="168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wrapText="1"/>
    </xf>
    <xf numFmtId="0" fontId="0" fillId="0" borderId="1" xfId="0" applyBorder="1" applyAlignment="1">
      <alignment horizontal="right"/>
    </xf>
    <xf numFmtId="17" fontId="0" fillId="0" borderId="0" xfId="0" applyNumberFormat="1" applyFill="1"/>
    <xf numFmtId="0" fontId="0" fillId="0" borderId="0" xfId="0" applyFill="1"/>
    <xf numFmtId="4" fontId="4" fillId="0" borderId="0" xfId="0" applyNumberFormat="1" applyFont="1" applyFill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 applyFill="1" applyAlignment="1">
      <alignment horizontal="center"/>
    </xf>
    <xf numFmtId="0" fontId="0" fillId="0" borderId="0" xfId="0" applyFill="1" applyBorder="1" applyAlignment="1"/>
    <xf numFmtId="165" fontId="0" fillId="0" borderId="0" xfId="0" applyNumberFormat="1" applyAlignment="1">
      <alignment horizontal="center"/>
    </xf>
    <xf numFmtId="0" fontId="0" fillId="0" borderId="0" xfId="0" applyNumberFormat="1" applyBorder="1"/>
    <xf numFmtId="0" fontId="0" fillId="0" borderId="0" xfId="0" applyAlignment="1">
      <alignment horizontal="center" wrapText="1"/>
    </xf>
    <xf numFmtId="3" fontId="6" fillId="0" borderId="0" xfId="0" applyNumberFormat="1" applyFont="1"/>
    <xf numFmtId="0" fontId="7" fillId="0" borderId="0" xfId="0" applyFont="1"/>
    <xf numFmtId="164" fontId="0" fillId="0" borderId="0" xfId="0" applyNumberFormat="1" applyAlignment="1">
      <alignment horizontal="center" wrapText="1"/>
    </xf>
    <xf numFmtId="0" fontId="6" fillId="0" borderId="0" xfId="0" applyFont="1" applyAlignment="1">
      <alignment horizontal="center" wrapText="1"/>
    </xf>
    <xf numFmtId="37" fontId="0" fillId="0" borderId="0" xfId="0" applyNumberFormat="1" applyAlignment="1">
      <alignment horizontal="center"/>
    </xf>
    <xf numFmtId="0" fontId="0" fillId="0" borderId="0" xfId="0" applyFill="1" applyAlignment="1">
      <alignment horizontal="left"/>
    </xf>
    <xf numFmtId="0" fontId="3" fillId="0" borderId="0" xfId="0" applyFont="1" applyFill="1"/>
    <xf numFmtId="166" fontId="0" fillId="0" borderId="0" xfId="0" applyNumberFormat="1" applyFill="1" applyAlignment="1">
      <alignment horizontal="center"/>
    </xf>
    <xf numFmtId="0" fontId="0" fillId="0" borderId="2" xfId="0" applyFill="1" applyBorder="1" applyAlignment="1"/>
    <xf numFmtId="0" fontId="8" fillId="0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Continuous"/>
    </xf>
    <xf numFmtId="3" fontId="0" fillId="0" borderId="0" xfId="0" applyNumberFormat="1" applyFill="1" applyAlignment="1">
      <alignment horizontal="center" wrapText="1"/>
    </xf>
    <xf numFmtId="170" fontId="0" fillId="0" borderId="0" xfId="1" applyNumberFormat="1" applyFont="1" applyFill="1" applyBorder="1" applyAlignment="1"/>
    <xf numFmtId="9" fontId="0" fillId="0" borderId="0" xfId="13" applyFont="1" applyFill="1" applyBorder="1" applyAlignment="1"/>
    <xf numFmtId="1" fontId="0" fillId="0" borderId="0" xfId="0" applyNumberFormat="1" applyFill="1" applyAlignment="1">
      <alignment horizontal="center"/>
    </xf>
    <xf numFmtId="3" fontId="0" fillId="0" borderId="0" xfId="1" applyNumberFormat="1" applyFont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171" fontId="3" fillId="0" borderId="0" xfId="4" applyNumberFormat="1"/>
    <xf numFmtId="171" fontId="0" fillId="0" borderId="0" xfId="0" applyNumberFormat="1"/>
    <xf numFmtId="0" fontId="2" fillId="0" borderId="0" xfId="12"/>
    <xf numFmtId="170" fontId="2" fillId="0" borderId="0" xfId="12" applyNumberFormat="1"/>
    <xf numFmtId="0" fontId="2" fillId="0" borderId="0" xfId="12" applyFont="1"/>
    <xf numFmtId="0" fontId="2" fillId="0" borderId="0" xfId="12" applyFont="1" applyAlignment="1">
      <alignment horizontal="right"/>
    </xf>
    <xf numFmtId="169" fontId="0" fillId="0" borderId="2" xfId="1" applyNumberFormat="1" applyFont="1" applyFill="1" applyBorder="1" applyAlignment="1"/>
    <xf numFmtId="0" fontId="5" fillId="0" borderId="0" xfId="0" applyFont="1" applyFill="1" applyAlignment="1">
      <alignment horizontal="center" wrapText="1"/>
    </xf>
    <xf numFmtId="4" fontId="5" fillId="0" borderId="0" xfId="0" applyNumberFormat="1" applyFont="1" applyFill="1" applyAlignment="1">
      <alignment horizontal="center" wrapText="1"/>
    </xf>
    <xf numFmtId="1" fontId="4" fillId="0" borderId="0" xfId="0" applyNumberFormat="1" applyFont="1" applyFill="1" applyAlignment="1">
      <alignment horizontal="center"/>
    </xf>
    <xf numFmtId="169" fontId="0" fillId="0" borderId="0" xfId="1" applyNumberFormat="1" applyFont="1" applyFill="1" applyBorder="1" applyAlignment="1"/>
    <xf numFmtId="0" fontId="3" fillId="0" borderId="0" xfId="0" applyFont="1"/>
    <xf numFmtId="164" fontId="3" fillId="0" borderId="0" xfId="0" applyNumberFormat="1" applyFont="1" applyAlignment="1">
      <alignment horizontal="center"/>
    </xf>
    <xf numFmtId="3" fontId="5" fillId="0" borderId="0" xfId="0" applyNumberFormat="1" applyFont="1" applyFill="1" applyAlignment="1">
      <alignment horizontal="center"/>
    </xf>
    <xf numFmtId="43" fontId="3" fillId="0" borderId="0" xfId="5" applyFont="1"/>
    <xf numFmtId="0" fontId="11" fillId="0" borderId="0" xfId="0" applyFont="1"/>
    <xf numFmtId="0" fontId="12" fillId="0" borderId="0" xfId="0" applyFont="1"/>
    <xf numFmtId="43" fontId="10" fillId="0" borderId="0" xfId="5" applyFont="1"/>
    <xf numFmtId="0" fontId="10" fillId="0" borderId="0" xfId="0" applyFont="1"/>
    <xf numFmtId="43" fontId="13" fillId="0" borderId="0" xfId="5" applyFont="1" applyAlignment="1">
      <alignment horizontal="right"/>
    </xf>
    <xf numFmtId="0" fontId="13" fillId="0" borderId="4" xfId="0" applyFont="1" applyBorder="1" applyAlignment="1">
      <alignment horizontal="right"/>
    </xf>
    <xf numFmtId="0" fontId="13" fillId="2" borderId="0" xfId="0" applyFont="1" applyFill="1"/>
    <xf numFmtId="0" fontId="10" fillId="0" borderId="0" xfId="0" applyFont="1" applyAlignment="1">
      <alignment horizontal="right"/>
    </xf>
    <xf numFmtId="43" fontId="10" fillId="0" borderId="0" xfId="0" applyNumberFormat="1" applyFont="1" applyAlignment="1">
      <alignment horizontal="right"/>
    </xf>
    <xf numFmtId="4" fontId="10" fillId="2" borderId="0" xfId="0" applyNumberFormat="1" applyFont="1" applyFill="1"/>
    <xf numFmtId="2" fontId="0" fillId="0" borderId="0" xfId="0" applyNumberFormat="1"/>
    <xf numFmtId="0" fontId="0" fillId="2" borderId="0" xfId="0" applyFill="1"/>
    <xf numFmtId="172" fontId="4" fillId="0" borderId="0" xfId="0" applyNumberFormat="1" applyFont="1" applyFill="1" applyAlignment="1">
      <alignment horizontal="center"/>
    </xf>
    <xf numFmtId="170" fontId="0" fillId="0" borderId="2" xfId="1" applyNumberFormat="1" applyFont="1" applyFill="1" applyBorder="1" applyAlignment="1"/>
    <xf numFmtId="3" fontId="3" fillId="0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 wrapText="1"/>
    </xf>
    <xf numFmtId="3" fontId="5" fillId="0" borderId="0" xfId="0" applyNumberFormat="1" applyFont="1" applyFill="1" applyAlignment="1">
      <alignment horizontal="center" wrapText="1"/>
    </xf>
    <xf numFmtId="165" fontId="0" fillId="0" borderId="0" xfId="0" applyNumberFormat="1" applyFill="1" applyAlignment="1">
      <alignment horizontal="center"/>
    </xf>
    <xf numFmtId="10" fontId="0" fillId="0" borderId="0" xfId="0" applyNumberFormat="1" applyFill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37" fontId="3" fillId="0" borderId="0" xfId="0" applyNumberFormat="1" applyFont="1" applyAlignment="1">
      <alignment horizontal="center"/>
    </xf>
    <xf numFmtId="37" fontId="3" fillId="0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3" fillId="0" borderId="0" xfId="14"/>
    <xf numFmtId="0" fontId="3" fillId="0" borderId="0" xfId="14" applyFont="1"/>
    <xf numFmtId="0" fontId="3" fillId="0" borderId="1" xfId="14" applyFont="1" applyBorder="1"/>
    <xf numFmtId="0" fontId="3" fillId="0" borderId="1" xfId="14" applyFont="1" applyBorder="1" applyAlignment="1">
      <alignment horizontal="center" wrapText="1"/>
    </xf>
    <xf numFmtId="0" fontId="3" fillId="0" borderId="1" xfId="14" applyFont="1" applyFill="1" applyBorder="1" applyAlignment="1">
      <alignment horizontal="left" vertical="center" wrapText="1"/>
    </xf>
    <xf numFmtId="0" fontId="6" fillId="0" borderId="0" xfId="14" applyFont="1" applyFill="1" applyBorder="1" applyAlignment="1">
      <alignment horizontal="left" vertical="center"/>
    </xf>
    <xf numFmtId="0" fontId="6" fillId="0" borderId="1" xfId="15" applyFont="1" applyFill="1" applyBorder="1" applyAlignment="1">
      <alignment horizontal="left" vertical="center"/>
    </xf>
    <xf numFmtId="0" fontId="6" fillId="0" borderId="1" xfId="15" applyFont="1" applyFill="1" applyBorder="1" applyAlignment="1">
      <alignment horizontal="center" vertical="center" wrapText="1"/>
    </xf>
    <xf numFmtId="0" fontId="6" fillId="0" borderId="1" xfId="14" applyFont="1" applyFill="1" applyBorder="1" applyAlignment="1">
      <alignment horizontal="center" vertical="center"/>
    </xf>
    <xf numFmtId="0" fontId="6" fillId="0" borderId="1" xfId="14" applyFont="1" applyFill="1" applyBorder="1" applyAlignment="1">
      <alignment horizontal="left" vertical="center"/>
    </xf>
    <xf numFmtId="0" fontId="3" fillId="0" borderId="1" xfId="14" applyFont="1" applyFill="1" applyBorder="1" applyAlignment="1">
      <alignment horizontal="left" vertical="center"/>
    </xf>
    <xf numFmtId="173" fontId="3" fillId="0" borderId="1" xfId="14" applyNumberFormat="1" applyFont="1" applyFill="1" applyBorder="1" applyAlignment="1">
      <alignment horizontal="center" vertical="center"/>
    </xf>
    <xf numFmtId="37" fontId="3" fillId="0" borderId="1" xfId="14" applyNumberFormat="1" applyFont="1" applyFill="1" applyBorder="1" applyAlignment="1">
      <alignment horizontal="center" vertical="center"/>
    </xf>
    <xf numFmtId="173" fontId="3" fillId="0" borderId="1" xfId="16" applyNumberFormat="1" applyFont="1" applyFill="1" applyBorder="1" applyAlignment="1">
      <alignment horizontal="center" vertical="center"/>
    </xf>
    <xf numFmtId="174" fontId="3" fillId="0" borderId="1" xfId="14" applyNumberFormat="1" applyFont="1" applyFill="1" applyBorder="1" applyAlignment="1">
      <alignment horizontal="center" vertical="center"/>
    </xf>
    <xf numFmtId="175" fontId="3" fillId="0" borderId="1" xfId="14" applyNumberFormat="1" applyFont="1" applyFill="1" applyBorder="1" applyAlignment="1">
      <alignment horizontal="center" vertical="center"/>
    </xf>
    <xf numFmtId="0" fontId="3" fillId="0" borderId="0" xfId="14" applyFont="1" applyFill="1"/>
    <xf numFmtId="0" fontId="6" fillId="0" borderId="0" xfId="14" applyFont="1"/>
    <xf numFmtId="0" fontId="6" fillId="0" borderId="5" xfId="15" applyFont="1" applyFill="1" applyBorder="1" applyAlignment="1">
      <alignment horizontal="left" vertical="center"/>
    </xf>
    <xf numFmtId="3" fontId="6" fillId="0" borderId="1" xfId="15" applyNumberFormat="1" applyFont="1" applyFill="1" applyBorder="1" applyAlignment="1">
      <alignment horizontal="center" vertical="center" wrapText="1"/>
    </xf>
    <xf numFmtId="0" fontId="3" fillId="0" borderId="5" xfId="14" applyFont="1" applyFill="1" applyBorder="1" applyAlignment="1">
      <alignment horizontal="left" vertical="center"/>
    </xf>
    <xf numFmtId="4" fontId="3" fillId="0" borderId="1" xfId="16" applyNumberFormat="1" applyFont="1" applyFill="1" applyBorder="1" applyAlignment="1">
      <alignment horizontal="center" vertical="center"/>
    </xf>
    <xf numFmtId="0" fontId="6" fillId="0" borderId="5" xfId="14" applyFont="1" applyBorder="1" applyAlignment="1"/>
    <xf numFmtId="0" fontId="6" fillId="0" borderId="6" xfId="14" applyFont="1" applyBorder="1" applyAlignment="1"/>
    <xf numFmtId="0" fontId="6" fillId="0" borderId="7" xfId="14" applyFont="1" applyBorder="1" applyAlignment="1"/>
    <xf numFmtId="4" fontId="3" fillId="0" borderId="1" xfId="14" applyNumberFormat="1" applyFont="1" applyFill="1" applyBorder="1" applyAlignment="1">
      <alignment horizontal="center" vertical="center"/>
    </xf>
    <xf numFmtId="0" fontId="3" fillId="0" borderId="5" xfId="14" applyFont="1" applyFill="1" applyBorder="1" applyAlignment="1">
      <alignment horizontal="left" vertical="center" wrapText="1"/>
    </xf>
    <xf numFmtId="0" fontId="3" fillId="0" borderId="0" xfId="14" applyFont="1" applyFill="1" applyBorder="1" applyAlignment="1">
      <alignment horizontal="left" vertical="center" wrapText="1"/>
    </xf>
    <xf numFmtId="173" fontId="3" fillId="0" borderId="0" xfId="16" applyNumberFormat="1" applyFont="1" applyFill="1" applyBorder="1" applyAlignment="1">
      <alignment horizontal="center" vertical="center"/>
    </xf>
    <xf numFmtId="173" fontId="3" fillId="0" borderId="0" xfId="14" applyNumberFormat="1" applyFont="1" applyFill="1" applyBorder="1" applyAlignment="1">
      <alignment horizontal="center" vertical="center"/>
    </xf>
    <xf numFmtId="3" fontId="3" fillId="0" borderId="1" xfId="16" applyNumberFormat="1" applyFont="1" applyFill="1" applyBorder="1" applyAlignment="1">
      <alignment horizontal="center" vertical="center"/>
    </xf>
    <xf numFmtId="3" fontId="3" fillId="0" borderId="7" xfId="16" applyNumberFormat="1" applyFont="1" applyFill="1" applyBorder="1" applyAlignment="1">
      <alignment horizontal="center" vertical="center"/>
    </xf>
    <xf numFmtId="3" fontId="3" fillId="0" borderId="1" xfId="14" applyNumberFormat="1" applyFont="1" applyFill="1" applyBorder="1" applyAlignment="1">
      <alignment horizontal="center" vertical="center"/>
    </xf>
    <xf numFmtId="164" fontId="3" fillId="0" borderId="1" xfId="16" applyNumberFormat="1" applyFont="1" applyFill="1" applyBorder="1" applyAlignment="1">
      <alignment horizontal="center" vertical="center"/>
    </xf>
    <xf numFmtId="0" fontId="3" fillId="0" borderId="0" xfId="14" applyFont="1" applyFill="1" applyAlignment="1">
      <alignment vertical="center"/>
    </xf>
    <xf numFmtId="176" fontId="3" fillId="0" borderId="1" xfId="16" applyNumberFormat="1" applyFont="1" applyFill="1" applyBorder="1" applyAlignment="1">
      <alignment horizontal="center" vertical="center"/>
    </xf>
    <xf numFmtId="1" fontId="3" fillId="0" borderId="1" xfId="14" applyNumberFormat="1" applyFont="1" applyFill="1" applyBorder="1" applyAlignment="1">
      <alignment horizontal="left" vertical="center" indent="1"/>
    </xf>
    <xf numFmtId="174" fontId="3" fillId="0" borderId="1" xfId="16" applyNumberFormat="1" applyFont="1" applyFill="1" applyBorder="1" applyAlignment="1">
      <alignment horizontal="center" vertical="center"/>
    </xf>
    <xf numFmtId="177" fontId="3" fillId="0" borderId="1" xfId="16" applyNumberFormat="1" applyFont="1" applyFill="1" applyBorder="1" applyAlignment="1">
      <alignment horizontal="center" vertical="center"/>
    </xf>
    <xf numFmtId="166" fontId="3" fillId="0" borderId="1" xfId="14" applyNumberFormat="1" applyFont="1" applyBorder="1" applyAlignment="1">
      <alignment horizontal="center"/>
    </xf>
    <xf numFmtId="176" fontId="6" fillId="0" borderId="1" xfId="16" applyNumberFormat="1" applyFont="1" applyFill="1" applyBorder="1" applyAlignment="1">
      <alignment horizontal="center" vertical="center"/>
    </xf>
    <xf numFmtId="177" fontId="6" fillId="0" borderId="1" xfId="16" applyNumberFormat="1" applyFont="1" applyFill="1" applyBorder="1" applyAlignment="1">
      <alignment horizontal="center" vertical="center"/>
    </xf>
    <xf numFmtId="0" fontId="3" fillId="0" borderId="1" xfId="14" applyFont="1" applyFill="1" applyBorder="1"/>
    <xf numFmtId="3" fontId="3" fillId="0" borderId="0" xfId="14" applyNumberFormat="1" applyFont="1" applyFill="1" applyBorder="1" applyAlignment="1">
      <alignment horizontal="center" vertical="center" wrapText="1"/>
    </xf>
    <xf numFmtId="0" fontId="3" fillId="0" borderId="0" xfId="14" applyFont="1" applyFill="1" applyBorder="1" applyAlignment="1">
      <alignment horizontal="left" vertical="center"/>
    </xf>
    <xf numFmtId="0" fontId="3" fillId="0" borderId="0" xfId="14" applyFont="1" applyBorder="1"/>
    <xf numFmtId="3" fontId="3" fillId="0" borderId="1" xfId="14" applyNumberFormat="1" applyFont="1" applyFill="1" applyBorder="1" applyAlignment="1">
      <alignment horizontal="center" vertical="center" wrapText="1"/>
    </xf>
    <xf numFmtId="9" fontId="3" fillId="0" borderId="0" xfId="14" applyNumberFormat="1" applyFont="1" applyFill="1" applyBorder="1" applyAlignment="1">
      <alignment horizontal="center" vertical="center" wrapText="1"/>
    </xf>
    <xf numFmtId="0" fontId="31" fillId="0" borderId="1" xfId="17" applyFont="1" applyFill="1" applyBorder="1" applyAlignment="1">
      <alignment horizontal="center"/>
    </xf>
    <xf numFmtId="0" fontId="32" fillId="0" borderId="1" xfId="17" applyFont="1" applyFill="1" applyBorder="1" applyAlignment="1">
      <alignment horizontal="left"/>
    </xf>
    <xf numFmtId="0" fontId="32" fillId="0" borderId="5" xfId="17" applyFont="1" applyFill="1" applyBorder="1" applyAlignment="1">
      <alignment horizontal="left" wrapText="1"/>
    </xf>
    <xf numFmtId="0" fontId="31" fillId="0" borderId="1" xfId="17" applyFont="1" applyFill="1" applyBorder="1" applyAlignment="1">
      <alignment horizontal="left"/>
    </xf>
    <xf numFmtId="173" fontId="3" fillId="0" borderId="1" xfId="14" applyNumberFormat="1" applyFont="1" applyFill="1" applyBorder="1" applyAlignment="1">
      <alignment horizontal="center" vertical="center" wrapText="1"/>
    </xf>
    <xf numFmtId="174" fontId="3" fillId="0" borderId="1" xfId="14" applyNumberFormat="1" applyFont="1" applyFill="1" applyBorder="1" applyAlignment="1">
      <alignment horizontal="center" vertical="center" wrapText="1"/>
    </xf>
    <xf numFmtId="178" fontId="3" fillId="0" borderId="1" xfId="14" applyNumberFormat="1" applyFont="1" applyFill="1" applyBorder="1" applyAlignment="1">
      <alignment horizontal="center" vertical="center" wrapText="1"/>
    </xf>
    <xf numFmtId="3" fontId="3" fillId="0" borderId="1" xfId="14" applyNumberFormat="1" applyFont="1" applyBorder="1" applyAlignment="1">
      <alignment horizontal="center"/>
    </xf>
    <xf numFmtId="3" fontId="3" fillId="0" borderId="1" xfId="14" applyNumberFormat="1" applyFont="1" applyBorder="1" applyAlignment="1">
      <alignment horizontal="center" wrapText="1"/>
    </xf>
    <xf numFmtId="3" fontId="3" fillId="0" borderId="1" xfId="14" applyNumberFormat="1" applyFont="1" applyBorder="1" applyAlignment="1">
      <alignment horizontal="left"/>
    </xf>
    <xf numFmtId="0" fontId="3" fillId="0" borderId="0" xfId="14" applyBorder="1"/>
    <xf numFmtId="0" fontId="6" fillId="0" borderId="1" xfId="14" applyFont="1" applyBorder="1" applyAlignment="1">
      <alignment horizontal="left" vertical="center"/>
    </xf>
    <xf numFmtId="166" fontId="3" fillId="0" borderId="1" xfId="14" applyNumberFormat="1" applyFont="1" applyFill="1" applyBorder="1" applyAlignment="1">
      <alignment horizontal="center" vertical="center" wrapText="1"/>
    </xf>
    <xf numFmtId="0" fontId="6" fillId="0" borderId="1" xfId="14" applyFont="1" applyFill="1" applyBorder="1" applyAlignment="1">
      <alignment horizontal="center" vertical="center" wrapText="1"/>
    </xf>
    <xf numFmtId="0" fontId="6" fillId="0" borderId="1" xfId="14" applyFont="1" applyBorder="1" applyAlignment="1">
      <alignment horizontal="left"/>
    </xf>
    <xf numFmtId="0" fontId="3" fillId="0" borderId="1" xfId="14" applyFont="1" applyFill="1" applyBorder="1" applyAlignment="1">
      <alignment horizontal="center" vertical="center"/>
    </xf>
    <xf numFmtId="3" fontId="3" fillId="0" borderId="1" xfId="18" applyNumberFormat="1" applyFont="1" applyBorder="1" applyAlignment="1">
      <alignment horizontal="center"/>
    </xf>
    <xf numFmtId="3" fontId="3" fillId="0" borderId="1" xfId="14" applyNumberFormat="1" applyFont="1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3" fillId="0" borderId="0" xfId="0" applyFont="1" applyBorder="1" applyAlignment="1">
      <alignment horizontal="right"/>
    </xf>
    <xf numFmtId="0" fontId="6" fillId="0" borderId="5" xfId="14" applyFont="1" applyFill="1" applyBorder="1" applyAlignment="1">
      <alignment vertical="center"/>
    </xf>
    <xf numFmtId="0" fontId="6" fillId="0" borderId="6" xfId="14" applyFont="1" applyFill="1" applyBorder="1" applyAlignment="1">
      <alignment vertical="center"/>
    </xf>
    <xf numFmtId="0" fontId="6" fillId="0" borderId="7" xfId="14" applyFont="1" applyFill="1" applyBorder="1" applyAlignment="1">
      <alignment vertical="center"/>
    </xf>
    <xf numFmtId="164" fontId="3" fillId="0" borderId="0" xfId="0" applyNumberFormat="1" applyFont="1" applyFill="1" applyAlignment="1">
      <alignment horizontal="center"/>
    </xf>
    <xf numFmtId="3" fontId="31" fillId="0" borderId="1" xfId="17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5" xfId="0" applyFont="1" applyFill="1" applyBorder="1" applyAlignment="1"/>
    <xf numFmtId="0" fontId="3" fillId="0" borderId="6" xfId="0" applyFont="1" applyFill="1" applyBorder="1" applyAlignment="1"/>
    <xf numFmtId="0" fontId="6" fillId="0" borderId="0" xfId="14" applyFont="1" applyFill="1" applyBorder="1" applyAlignment="1">
      <alignment horizontal="left" vertical="center"/>
    </xf>
    <xf numFmtId="0" fontId="6" fillId="0" borderId="1" xfId="14" applyFont="1" applyFill="1" applyBorder="1" applyAlignment="1">
      <alignment horizontal="left" vertical="center"/>
    </xf>
    <xf numFmtId="0" fontId="6" fillId="0" borderId="5" xfId="14" applyFont="1" applyFill="1" applyBorder="1" applyAlignment="1">
      <alignment horizontal="center" vertical="center"/>
    </xf>
    <xf numFmtId="0" fontId="6" fillId="0" borderId="6" xfId="14" applyFont="1" applyFill="1" applyBorder="1" applyAlignment="1">
      <alignment horizontal="center" vertical="center"/>
    </xf>
    <xf numFmtId="0" fontId="6" fillId="0" borderId="7" xfId="14" applyFont="1" applyFill="1" applyBorder="1" applyAlignment="1">
      <alignment horizontal="center" vertical="center"/>
    </xf>
    <xf numFmtId="0" fontId="6" fillId="0" borderId="5" xfId="14" applyFont="1" applyFill="1" applyBorder="1" applyAlignment="1">
      <alignment horizontal="left" vertical="center"/>
    </xf>
    <xf numFmtId="0" fontId="6" fillId="0" borderId="6" xfId="14" applyFont="1" applyFill="1" applyBorder="1" applyAlignment="1">
      <alignment horizontal="left" vertical="center"/>
    </xf>
    <xf numFmtId="0" fontId="6" fillId="0" borderId="7" xfId="14" applyFont="1" applyFill="1" applyBorder="1" applyAlignment="1">
      <alignment horizontal="left" vertical="center"/>
    </xf>
    <xf numFmtId="0" fontId="31" fillId="0" borderId="17" xfId="17" applyFont="1" applyFill="1" applyBorder="1" applyAlignment="1">
      <alignment horizontal="left"/>
    </xf>
    <xf numFmtId="0" fontId="31" fillId="0" borderId="0" xfId="17" applyFont="1" applyFill="1" applyBorder="1" applyAlignment="1">
      <alignment horizontal="left"/>
    </xf>
    <xf numFmtId="0" fontId="31" fillId="0" borderId="18" xfId="17" applyFont="1" applyFill="1" applyBorder="1" applyAlignment="1">
      <alignment horizontal="left" wrapText="1"/>
    </xf>
    <xf numFmtId="0" fontId="31" fillId="0" borderId="4" xfId="17" applyFont="1" applyFill="1" applyBorder="1" applyAlignment="1">
      <alignment horizontal="left" wrapText="1"/>
    </xf>
    <xf numFmtId="0" fontId="6" fillId="0" borderId="1" xfId="14" applyFont="1" applyBorder="1" applyAlignment="1">
      <alignment horizontal="left" vertical="center"/>
    </xf>
    <xf numFmtId="0" fontId="6" fillId="0" borderId="1" xfId="14" applyFont="1" applyFill="1" applyBorder="1" applyAlignment="1">
      <alignment horizontal="center" vertical="center" wrapText="1"/>
    </xf>
    <xf numFmtId="0" fontId="3" fillId="0" borderId="1" xfId="14" applyFont="1" applyBorder="1" applyAlignment="1">
      <alignment horizontal="center"/>
    </xf>
    <xf numFmtId="179" fontId="3" fillId="0" borderId="1" xfId="14" applyNumberFormat="1" applyFont="1" applyBorder="1" applyAlignment="1">
      <alignment horizontal="center"/>
    </xf>
    <xf numFmtId="0" fontId="6" fillId="0" borderId="1" xfId="14" applyFont="1" applyBorder="1" applyAlignment="1">
      <alignment horizontal="center" vertical="center" wrapText="1"/>
    </xf>
    <xf numFmtId="0" fontId="6" fillId="0" borderId="1" xfId="14" applyFont="1" applyFill="1" applyBorder="1" applyAlignment="1">
      <alignment horizontal="center" vertical="center"/>
    </xf>
    <xf numFmtId="165" fontId="3" fillId="0" borderId="1" xfId="14" applyNumberFormat="1" applyFont="1" applyBorder="1" applyAlignment="1">
      <alignment horizontal="center"/>
    </xf>
    <xf numFmtId="0" fontId="6" fillId="0" borderId="5" xfId="14" applyFont="1" applyBorder="1" applyAlignment="1">
      <alignment horizontal="left" vertical="center"/>
    </xf>
    <xf numFmtId="0" fontId="6" fillId="0" borderId="6" xfId="14" applyFont="1" applyBorder="1" applyAlignment="1">
      <alignment horizontal="left" vertical="center"/>
    </xf>
    <xf numFmtId="0" fontId="6" fillId="0" borderId="7" xfId="14" applyFont="1" applyBorder="1" applyAlignment="1">
      <alignment horizontal="left" vertical="center"/>
    </xf>
    <xf numFmtId="0" fontId="6" fillId="0" borderId="5" xfId="14" applyFont="1" applyFill="1" applyBorder="1" applyAlignment="1">
      <alignment horizontal="center" vertical="center" wrapText="1"/>
    </xf>
    <xf numFmtId="0" fontId="6" fillId="0" borderId="7" xfId="14" applyFont="1" applyFill="1" applyBorder="1" applyAlignment="1">
      <alignment horizontal="center" vertical="center" wrapText="1"/>
    </xf>
    <xf numFmtId="165" fontId="3" fillId="0" borderId="5" xfId="14" applyNumberFormat="1" applyFont="1" applyBorder="1" applyAlignment="1">
      <alignment horizontal="center"/>
    </xf>
    <xf numFmtId="165" fontId="3" fillId="0" borderId="7" xfId="14" applyNumberFormat="1" applyFont="1" applyBorder="1" applyAlignment="1">
      <alignment horizontal="center"/>
    </xf>
    <xf numFmtId="3" fontId="0" fillId="3" borderId="5" xfId="0" applyNumberFormat="1" applyFill="1" applyBorder="1" applyAlignment="1">
      <alignment horizontal="center"/>
    </xf>
    <xf numFmtId="3" fontId="0" fillId="3" borderId="6" xfId="0" applyNumberFormat="1" applyFill="1" applyBorder="1" applyAlignment="1">
      <alignment horizontal="center"/>
    </xf>
    <xf numFmtId="3" fontId="0" fillId="3" borderId="7" xfId="0" applyNumberFormat="1" applyFill="1" applyBorder="1" applyAlignment="1">
      <alignment horizontal="center"/>
    </xf>
    <xf numFmtId="0" fontId="0" fillId="0" borderId="0" xfId="0" applyAlignment="1">
      <alignment horizontal="center"/>
    </xf>
  </cellXfs>
  <cellStyles count="102">
    <cellStyle name="$" xfId="19"/>
    <cellStyle name="$.00" xfId="20"/>
    <cellStyle name="$_9. Rev2Cost_GDPIPI" xfId="21"/>
    <cellStyle name="$_lists" xfId="22"/>
    <cellStyle name="$_lists_4. Current Monthly Fixed Charge" xfId="23"/>
    <cellStyle name="$_Sheet4" xfId="24"/>
    <cellStyle name="$M" xfId="25"/>
    <cellStyle name="$M.00" xfId="26"/>
    <cellStyle name="$M_9. Rev2Cost_GDPIPI" xfId="27"/>
    <cellStyle name="20% - Accent1 2" xfId="28"/>
    <cellStyle name="20% - Accent2 2" xfId="29"/>
    <cellStyle name="20% - Accent3 2" xfId="30"/>
    <cellStyle name="20% - Accent4 2" xfId="31"/>
    <cellStyle name="20% - Accent5 2" xfId="32"/>
    <cellStyle name="20% - Accent6 2" xfId="33"/>
    <cellStyle name="40% - Accent1 2" xfId="34"/>
    <cellStyle name="40% - Accent2 2" xfId="35"/>
    <cellStyle name="40% - Accent3 2" xfId="36"/>
    <cellStyle name="40% - Accent4 2" xfId="37"/>
    <cellStyle name="40% - Accent5 2" xfId="38"/>
    <cellStyle name="40% - Accent6 2" xfId="39"/>
    <cellStyle name="60% - Accent1 2" xfId="40"/>
    <cellStyle name="60% - Accent2 2" xfId="41"/>
    <cellStyle name="60% - Accent3 2" xfId="42"/>
    <cellStyle name="60% - Accent4 2" xfId="43"/>
    <cellStyle name="60% - Accent5 2" xfId="44"/>
    <cellStyle name="60% - Accent6 2" xfId="45"/>
    <cellStyle name="Accent1 2" xfId="46"/>
    <cellStyle name="Accent2 2" xfId="47"/>
    <cellStyle name="Accent3 2" xfId="48"/>
    <cellStyle name="Accent4 2" xfId="49"/>
    <cellStyle name="Accent5 2" xfId="50"/>
    <cellStyle name="Accent6 2" xfId="51"/>
    <cellStyle name="Bad 2" xfId="52"/>
    <cellStyle name="Calculation 2" xfId="53"/>
    <cellStyle name="Check Cell 2" xfId="54"/>
    <cellStyle name="Comma" xfId="1" builtinId="3"/>
    <cellStyle name="Comma 2" xfId="2"/>
    <cellStyle name="Comma 3" xfId="3"/>
    <cellStyle name="Comma 3 2" xfId="55"/>
    <cellStyle name="Comma 4" xfId="56"/>
    <cellStyle name="Comma 5" xfId="57"/>
    <cellStyle name="Comma 6" xfId="58"/>
    <cellStyle name="Comma_CDM monthly amounts" xfId="4"/>
    <cellStyle name="Comma_Horizon 2011 Load Forecast Model  June 25, 2010" xfId="5"/>
    <cellStyle name="Comma0" xfId="6"/>
    <cellStyle name="Currency 2" xfId="59"/>
    <cellStyle name="Currency 3" xfId="60"/>
    <cellStyle name="Currency 4" xfId="61"/>
    <cellStyle name="Currency0" xfId="7"/>
    <cellStyle name="Date" xfId="8"/>
    <cellStyle name="Explanatory Text 2" xfId="62"/>
    <cellStyle name="Fixed" xfId="9"/>
    <cellStyle name="Good 2" xfId="63"/>
    <cellStyle name="Grey" xfId="64"/>
    <cellStyle name="Grey 2" xfId="65"/>
    <cellStyle name="Heading 1 2" xfId="66"/>
    <cellStyle name="Heading 2 2" xfId="67"/>
    <cellStyle name="Heading 3 2" xfId="68"/>
    <cellStyle name="Heading 4 2" xfId="69"/>
    <cellStyle name="Input [yellow]" xfId="70"/>
    <cellStyle name="Input [yellow] 2" xfId="71"/>
    <cellStyle name="Input 2" xfId="72"/>
    <cellStyle name="Linked Cell 2" xfId="73"/>
    <cellStyle name="M" xfId="74"/>
    <cellStyle name="M.00" xfId="75"/>
    <cellStyle name="M_9. Rev2Cost_GDPIPI" xfId="76"/>
    <cellStyle name="M_lists" xfId="77"/>
    <cellStyle name="M_lists_4. Current Monthly Fixed Charge" xfId="78"/>
    <cellStyle name="M_Sheet4" xfId="79"/>
    <cellStyle name="Neutral 2" xfId="80"/>
    <cellStyle name="Normal" xfId="0" builtinId="0"/>
    <cellStyle name="Normal - Style1" xfId="81"/>
    <cellStyle name="Normal 2" xfId="10"/>
    <cellStyle name="Normal 2 2" xfId="14"/>
    <cellStyle name="Normal 3" xfId="11"/>
    <cellStyle name="Normal 4" xfId="82"/>
    <cellStyle name="Normal 5" xfId="83"/>
    <cellStyle name="Normal 5 2" xfId="84"/>
    <cellStyle name="Normal 5 2 3" xfId="17"/>
    <cellStyle name="Normal 6" xfId="85"/>
    <cellStyle name="Normal 7" xfId="86"/>
    <cellStyle name="Normal_McKenzie Forest Products_2000_2011" xfId="12"/>
    <cellStyle name="Normal_OEB Trial Balance - Regulatory-July24-07" xfId="16"/>
    <cellStyle name="Normal_Sheet2" xfId="15"/>
    <cellStyle name="Note 2" xfId="87"/>
    <cellStyle name="Output 2" xfId="88"/>
    <cellStyle name="Percent" xfId="13" builtinId="5"/>
    <cellStyle name="Percent [2]" xfId="89"/>
    <cellStyle name="Percent 2" xfId="90"/>
    <cellStyle name="Percent 3" xfId="91"/>
    <cellStyle name="Percent 3 2" xfId="92"/>
    <cellStyle name="Percent 4" xfId="93"/>
    <cellStyle name="Percent 5" xfId="18"/>
    <cellStyle name="Style 23" xfId="94"/>
    <cellStyle name="STYLE1" xfId="95"/>
    <cellStyle name="STYLE2" xfId="96"/>
    <cellStyle name="STYLE4" xfId="97"/>
    <cellStyle name="Subtotal" xfId="98"/>
    <cellStyle name="Title 2" xfId="99"/>
    <cellStyle name="Total 2" xfId="100"/>
    <cellStyle name="Warning Text 2" xfId="10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\Richmond%20Hill\Year%20End\RHH96YE_%20MEA%20Statistic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amar$\My%20Documents\EXCEL\COSA\COSA_Unbundling%20(MEA)\Mea_UCA_tes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acon\My%20Documents\Orillia\2010%20Rates\2010%20Rate%20File%20-%20July%202,%202009\Documents%20and%20Settings\phurley\Desktop\Lakeland%20Rate%20App\LPDL_2009%20Revenue%20Requiremen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eichsteller$\My%20Documents\EXCEL\COSA\COSA_Unbundling%20(MEA)\Mea_UCA_tes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LH-Deanne\AppData\Local\Microsoft\Windows\Temporary%20Internet%20Files\Content.Outlook\HDW8HWSV\Sioux%20Lookout-RUN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Bacon\AppData\Local\Microsoft\Windows\Temporary%20Internet%20Files\Content.IE5\SJKK2QEK\2006-2010%20Final%20OPA%20CDM%20Results.Sioux%20Lookout%20Hydro%20Inc.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Bacon\AppData\Local\Microsoft\Windows\Temporary%20Internet%20Files\Content.IE5\SJKK2QEK\2011-2014%20Final%20Results%20Report_HCSioux%20Lookout%20Hydro%20Inc.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Bacon\AppData\Local\Microsoft\Windows\Temporary%20Internet%20Files\Content.IE5\SJKK2QEK\2011_2014_CDM%20with%20persistence-Sioux%20Lookout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Bacon\AppData\Local\Microsoft\Windows\Temporary%20Internet%20Files\Content.IE5\SJKK2QEK\Final%202015%20Annual%20Verified%20Results%20Report%20-%20Annual%20Persistence_Sioux%20Lookout%20Hydro%20Inc._2016072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acon\My%20Documents\Lakeland\2013%20Rate%20Appl\Dummy%20Fi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acon\My%20Documents\Norfolk\2011%20Rates\Evidence\Documents%20and%20Settings\dg\Desktop\Dummy%20Fil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g\Desktop\Dummy%20Fil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eanne\My%20Documents\2013%20Cost%20of%20Service%20App\2013%20COS%20Models\Dummy%20Fil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Tennant\Return%20on%20Equity%20and%20WC\RateMaker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acon\My%20Documents\Norfolk\2011%20Rates\Evidence\LDC%20FTY%20-%20LF\CostAllocatio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DC%20FTY%20-%20LF\CostAllocatio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acon\My%20Documents\Orillia\2010%20Rates\2010%20Rate%20File%20-%20July%202,%202009\Documents%20and%20Settings\mmaw\Local%20Settings\Temporary%20Internet%20Files\OLKBC\Exhibit%203%20Distribution%20Revenue%20Throughputs%20-%20Blan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A Statistics"/>
      <sheetName val="North York Stat"/>
      <sheetName val="MEA Title Pge"/>
      <sheetName val="Old MEA Statistics"/>
    </sheetNames>
    <sheetDataSet>
      <sheetData sheetId="0" refreshError="1"/>
      <sheetData sheetId="1" refreshError="1"/>
      <sheetData sheetId="2" refreshError="1"/>
      <sheetData sheetId="3" refreshError="1">
        <row r="250">
          <cell r="B250" t="str">
            <v xml:space="preserve">   Average for medium size utilities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  <row r="76">
          <cell r="E76">
            <v>36161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FA Continuity 2006"/>
      <sheetName val="FA Continuity 2007"/>
      <sheetName val="FA Continuity 2008"/>
      <sheetName val="FA Continuity 2009"/>
      <sheetName val="Trial Balance"/>
      <sheetName val="2006 Balance Sheet"/>
      <sheetName val="2006 Income Statement"/>
      <sheetName val="2007 Balance Sheet"/>
      <sheetName val="2007 Income Statement"/>
      <sheetName val="2008 Balance Sheet"/>
      <sheetName val="2008 Income Statement"/>
      <sheetName val="2009 Balance Sheet"/>
      <sheetName val="2009 Income Statement"/>
      <sheetName val="IS Comparison"/>
      <sheetName val="Debt &amp; Capital Structure"/>
      <sheetName val="Return on Capital"/>
      <sheetName val="Tax rates"/>
      <sheetName val="CCA Continuity 2008"/>
      <sheetName val="CCA Continuity 2009"/>
      <sheetName val="Reserves Continuity"/>
      <sheetName val="Corporation Loss Continuity"/>
      <sheetName val="Interest Schedule"/>
      <sheetName val="Tax Adjustments 2008"/>
      <sheetName val="Tax Adjustments 2009"/>
      <sheetName val="2009 Rev Deficiency"/>
      <sheetName val="Capital Tax &amp; Expense Schedules"/>
      <sheetName val="Revenue Require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10">
          <cell r="B10" t="str">
            <v>Service Revenue Requirement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summary"/>
      <sheetName val="Hourly load shapes by class"/>
      <sheetName val="Input to CA model"/>
    </sheetNames>
    <sheetDataSet>
      <sheetData sheetId="0">
        <row r="33">
          <cell r="F33">
            <v>0.35340439909169313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Filter"/>
      <sheetName val="Allocation Methodology"/>
      <sheetName val="Summary - LDC"/>
      <sheetName val="Summary - Prov"/>
      <sheetName val="Annual Net Demand Savings - LDC"/>
      <sheetName val="Annual Net Energy Savings - LDC"/>
      <sheetName val="Annual Net Demand Savings -Prov"/>
      <sheetName val="Annual Net Energy Savings -Prov"/>
      <sheetName val="Initiative Level - LDC"/>
      <sheetName val="Initiative Level - Prov"/>
      <sheetName val="Measures - LDC"/>
      <sheetName val="Measures - Prov"/>
      <sheetName val="Local Distribution Companies"/>
    </sheetNames>
    <sheetDataSet>
      <sheetData sheetId="0"/>
      <sheetData sheetId="1"/>
      <sheetData sheetId="2">
        <row r="19">
          <cell r="E19">
            <v>294.74740335788272</v>
          </cell>
        </row>
        <row r="20">
          <cell r="F20">
            <v>196.58774087492742</v>
          </cell>
        </row>
        <row r="21">
          <cell r="G21">
            <v>161.48760034741758</v>
          </cell>
        </row>
        <row r="22">
          <cell r="H22">
            <v>395.33482880832827</v>
          </cell>
        </row>
        <row r="23">
          <cell r="I23">
            <v>131.05466191636299</v>
          </cell>
        </row>
        <row r="24">
          <cell r="E24">
            <v>294.74740335788272</v>
          </cell>
          <cell r="F24">
            <v>491.33514423281014</v>
          </cell>
          <cell r="G24">
            <v>611.97714882804723</v>
          </cell>
          <cell r="H24">
            <v>984.28362607886629</v>
          </cell>
          <cell r="I24">
            <v>829.38383059633986</v>
          </cell>
          <cell r="J24">
            <v>739.73549316654385</v>
          </cell>
          <cell r="K24">
            <v>715.50193354229532</v>
          </cell>
          <cell r="L24">
            <v>708.52945381526331</v>
          </cell>
          <cell r="M24">
            <v>659.94918569285062</v>
          </cell>
          <cell r="N24">
            <v>376.34345075267447</v>
          </cell>
          <cell r="O24">
            <v>239.16287852445367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tter"/>
      <sheetName val="TOC"/>
      <sheetName val="Summary"/>
      <sheetName val="LDC - Results (Net)"/>
      <sheetName val="LDC - Adjustments (Net)"/>
      <sheetName val="LDC - NTGs"/>
      <sheetName val="LDC - Summary"/>
      <sheetName val="Provincial - Results (Net)"/>
      <sheetName val="Provincial - Adjustments (Net)"/>
      <sheetName val="Provincial - NTGs"/>
      <sheetName val="Provincial - Summary"/>
      <sheetName val="Methodology"/>
      <sheetName val="Reference Tables"/>
      <sheetName val="Glossary"/>
      <sheetName val="LDC - Results (Gross)"/>
      <sheetName val="LDC - Adjustments (Gross)"/>
      <sheetName val="Provincial - Results (Gross)"/>
      <sheetName val="Provincial - Adjustment (Gross)"/>
      <sheetName val="LDCResults(Gross)"/>
      <sheetName val="IncremLDC"/>
      <sheetName val="IncremProv"/>
      <sheetName val="ProvincialResults(Gross)"/>
      <sheetName val="TrueLDC (Gross)"/>
      <sheetName val="IncremTrueProv"/>
      <sheetName val="IncremTrueLDC"/>
      <sheetName val="NTG_LDC"/>
      <sheetName val="NTG_Prov"/>
      <sheetName val="Graphs"/>
      <sheetName val="TrueProv (Gross)"/>
      <sheetName val="Provincial - Results 2011"/>
      <sheetName val="Provincial - Results 2012"/>
      <sheetName val="Provincial - Results 2013"/>
      <sheetName val="Provincial - Results 2014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19">
          <cell r="B19">
            <v>6.0999999999999999E-2</v>
          </cell>
          <cell r="C19">
            <v>6.0999999999999999E-2</v>
          </cell>
          <cell r="D19">
            <v>6.0999999999999999E-2</v>
          </cell>
          <cell r="E19">
            <v>6.0999999999999999E-2</v>
          </cell>
        </row>
        <row r="20">
          <cell r="C20">
            <v>8.7999999999999995E-2</v>
          </cell>
          <cell r="D20">
            <v>8.7999999999999995E-2</v>
          </cell>
          <cell r="E20">
            <v>8.7999999999999995E-2</v>
          </cell>
        </row>
        <row r="21">
          <cell r="D21">
            <v>0.20699999999999999</v>
          </cell>
          <cell r="E21">
            <v>0.20699999999999999</v>
          </cell>
        </row>
        <row r="22">
          <cell r="D22">
            <v>4.2999999999999997E-2</v>
          </cell>
          <cell r="E22">
            <v>0.36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"/>
      <sheetName val="2012"/>
      <sheetName val="2013"/>
      <sheetName val="2014"/>
    </sheetNames>
    <sheetDataSet>
      <sheetData sheetId="0">
        <row r="74">
          <cell r="AV74">
            <v>0</v>
          </cell>
          <cell r="AW74">
            <v>0</v>
          </cell>
        </row>
        <row r="151">
          <cell r="AV151">
            <v>10.1166758367506</v>
          </cell>
          <cell r="AW151">
            <v>0</v>
          </cell>
        </row>
        <row r="228">
          <cell r="AV228">
            <v>22.57425944631996</v>
          </cell>
          <cell r="AW228">
            <v>20.251644562131762</v>
          </cell>
        </row>
        <row r="305">
          <cell r="AV305">
            <v>14.518895693484236</v>
          </cell>
          <cell r="AW305">
            <v>13.15131144696384</v>
          </cell>
        </row>
        <row r="382">
          <cell r="AV382">
            <v>1.4080164354835238</v>
          </cell>
          <cell r="AW382">
            <v>1.4080164354835238</v>
          </cell>
        </row>
        <row r="492">
          <cell r="AV492">
            <v>0</v>
          </cell>
          <cell r="AW492">
            <v>0</v>
          </cell>
        </row>
        <row r="626">
          <cell r="AV626">
            <v>5.986373886466839</v>
          </cell>
          <cell r="AW626">
            <v>5.986373886466839</v>
          </cell>
        </row>
        <row r="943">
          <cell r="AV943">
            <v>0.17409298651494276</v>
          </cell>
          <cell r="AW943">
            <v>0.17409298651494276</v>
          </cell>
        </row>
      </sheetData>
      <sheetData sheetId="1">
        <row r="70">
          <cell r="AU70">
            <v>43.647417523386011</v>
          </cell>
          <cell r="AV70">
            <v>43.647417523386011</v>
          </cell>
        </row>
        <row r="260">
          <cell r="AU260">
            <v>7.9916536319078815E-2</v>
          </cell>
          <cell r="AV260">
            <v>0</v>
          </cell>
        </row>
        <row r="336">
          <cell r="AU336">
            <v>10.613496736147418</v>
          </cell>
          <cell r="AV336">
            <v>9.7076258725595856</v>
          </cell>
        </row>
        <row r="412">
          <cell r="AU412">
            <v>22.510122492356405</v>
          </cell>
          <cell r="AV412">
            <v>20.235168126726222</v>
          </cell>
        </row>
        <row r="488">
          <cell r="AU488">
            <v>1.1751951980203241</v>
          </cell>
          <cell r="AV488">
            <v>1.1575396653841246</v>
          </cell>
        </row>
        <row r="564">
          <cell r="AU564">
            <v>0.29588573886220654</v>
          </cell>
          <cell r="AV564">
            <v>0.29588573886220654</v>
          </cell>
        </row>
        <row r="736">
          <cell r="AU736">
            <v>9.2017191252890512E-2</v>
          </cell>
          <cell r="AV736">
            <v>9.2017191252890512E-2</v>
          </cell>
        </row>
        <row r="1073">
          <cell r="AU1073">
            <v>0</v>
          </cell>
          <cell r="AV1073">
            <v>0</v>
          </cell>
        </row>
        <row r="1158">
          <cell r="AU1158">
            <v>-0.14574320761595264</v>
          </cell>
          <cell r="AV1158">
            <v>-0.14574320761595264</v>
          </cell>
        </row>
        <row r="1234">
          <cell r="AU1234">
            <v>1.8351501569101656</v>
          </cell>
          <cell r="AV1234">
            <v>1.6676254725204229</v>
          </cell>
        </row>
        <row r="1310">
          <cell r="AU1310">
            <v>0.23168943118997701</v>
          </cell>
          <cell r="AV1310">
            <v>0.21169017996293796</v>
          </cell>
        </row>
      </sheetData>
      <sheetData sheetId="2">
        <row r="411">
          <cell r="AV411">
            <v>156.11218586451798</v>
          </cell>
          <cell r="AW411">
            <v>88.654122644992</v>
          </cell>
        </row>
        <row r="490">
          <cell r="AV490">
            <v>6.2286060160019998</v>
          </cell>
          <cell r="AW490">
            <v>5.2769146369469997</v>
          </cell>
        </row>
        <row r="561">
          <cell r="AV561">
            <v>0.369439878</v>
          </cell>
          <cell r="AW561">
            <v>0.369439878</v>
          </cell>
        </row>
        <row r="637">
          <cell r="AV637">
            <v>8.8527803914310006</v>
          </cell>
          <cell r="AW637">
            <v>8.8527803914310006</v>
          </cell>
        </row>
        <row r="714">
          <cell r="AV714">
            <v>13.569707766706001</v>
          </cell>
          <cell r="AW714">
            <v>10.600519963184999</v>
          </cell>
        </row>
        <row r="782">
          <cell r="AV782">
            <v>1.1560408935549999</v>
          </cell>
          <cell r="AW782">
            <v>1.028905273438</v>
          </cell>
        </row>
        <row r="1445">
          <cell r="AV1445">
            <v>5.1400581206130502E-3</v>
          </cell>
          <cell r="AW1445">
            <v>5.1400581206130502E-3</v>
          </cell>
        </row>
        <row r="1521">
          <cell r="AV1521">
            <v>6.9761425843594595E-3</v>
          </cell>
          <cell r="AW1521">
            <v>6.9761425843594595E-3</v>
          </cell>
        </row>
      </sheetData>
      <sheetData sheetId="3">
        <row r="77">
          <cell r="AV77">
            <v>52.159344130000001</v>
          </cell>
          <cell r="AW77">
            <v>48.756827479999998</v>
          </cell>
        </row>
        <row r="518">
          <cell r="AV518">
            <v>28.611979080000001</v>
          </cell>
          <cell r="AW518">
            <v>28.611979080000001</v>
          </cell>
        </row>
        <row r="617">
          <cell r="AV617">
            <v>0.369439878</v>
          </cell>
          <cell r="AW617">
            <v>0.369439878</v>
          </cell>
        </row>
        <row r="872">
          <cell r="AV872">
            <v>0.10440804660000001</v>
          </cell>
          <cell r="AW872">
            <v>0.10440804660000001</v>
          </cell>
        </row>
        <row r="873">
          <cell r="AV873">
            <v>0</v>
          </cell>
          <cell r="AW873">
            <v>0</v>
          </cell>
        </row>
        <row r="874">
          <cell r="AV874">
            <v>7.0606931183667987</v>
          </cell>
          <cell r="AW874">
            <v>7.0606931183667987</v>
          </cell>
        </row>
        <row r="875">
          <cell r="AV875">
            <v>10.616768154433814</v>
          </cell>
          <cell r="AW875">
            <v>10.616768154433814</v>
          </cell>
        </row>
        <row r="990">
          <cell r="AV990">
            <v>89.61196434</v>
          </cell>
          <cell r="AW990">
            <v>82.478334509999996</v>
          </cell>
        </row>
        <row r="1128">
          <cell r="AV1128">
            <v>1.9E-2</v>
          </cell>
          <cell r="AW1128">
            <v>1.6E-2</v>
          </cell>
        </row>
        <row r="1129">
          <cell r="AV1129">
            <v>22.03696935</v>
          </cell>
          <cell r="AW1129">
            <v>21.250127620000001</v>
          </cell>
        </row>
        <row r="1282">
          <cell r="AV1282">
            <v>40.612865159999998</v>
          </cell>
          <cell r="AW1282">
            <v>37.272667640000002</v>
          </cell>
        </row>
        <row r="1283">
          <cell r="AV1283">
            <v>91.822043600000001</v>
          </cell>
          <cell r="AW1283">
            <v>83.543472640000005</v>
          </cell>
        </row>
        <row r="1456">
          <cell r="AV1456">
            <v>0.67585157537999996</v>
          </cell>
          <cell r="AW1456">
            <v>0.67585157537999996</v>
          </cell>
        </row>
        <row r="1644">
          <cell r="AV1644">
            <v>0</v>
          </cell>
          <cell r="AW1644">
            <v>0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How to Use this Report"/>
      <sheetName val="Energy Savings"/>
      <sheetName val="Demand Savings"/>
    </sheetNames>
    <sheetDataSet>
      <sheetData sheetId="0"/>
      <sheetData sheetId="1"/>
      <sheetData sheetId="2">
        <row r="33">
          <cell r="F33">
            <v>579767</v>
          </cell>
          <cell r="G33">
            <v>569306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1.Admin"/>
      <sheetName val="A2.HistoricalBalances"/>
      <sheetName val="A3.CustomerClasses"/>
      <sheetName val="B1.GrossCapital"/>
      <sheetName val="B2.CapitalAmortization"/>
      <sheetName val="B3.NetCapital"/>
      <sheetName val="B4.OMA"/>
      <sheetName val="B5.DeferralBalances"/>
      <sheetName val="C1.LoadForecast"/>
      <sheetName val="C2.PassthruRates"/>
      <sheetName val="C3.DistRates"/>
      <sheetName val="C4.DistRevenue"/>
      <sheetName val="C5.ApprovedRecovery"/>
      <sheetName val="C6.ProposedRecoveries"/>
      <sheetName val="C7.RateRiders"/>
      <sheetName val="C8.ServiceRevenues"/>
      <sheetName val="C9.RevenueOffsets"/>
      <sheetName val="D1.RateBase"/>
      <sheetName val="D2.Debt"/>
      <sheetName val="D3.CapitalStructure"/>
      <sheetName val="E1.BridgeYrPL"/>
      <sheetName val="E2.TestYrPL"/>
      <sheetName val="E3.CapitalInfo"/>
      <sheetName val="E4.PILsResults"/>
      <sheetName val="F1.RevRequirement"/>
      <sheetName val="F2.DirectRevenues"/>
      <sheetName val="F3.CostAllocation"/>
      <sheetName val="F4.RevenueAllocation"/>
      <sheetName val="F5.RateDesign"/>
      <sheetName val="F6.RatesCheck"/>
      <sheetName val="F7.FinalRates"/>
      <sheetName val="F8.BillImpacts"/>
      <sheetName val="G1.BridgeYrProForma"/>
      <sheetName val="G2.TestYrProForma"/>
      <sheetName val="G3.TestYrNewRates"/>
      <sheetName val="G4.VarBS"/>
      <sheetName val="G5.VarPL"/>
      <sheetName val="G6.VarRateBase"/>
      <sheetName val="G7.VarSuffDef"/>
      <sheetName val="X11.RatesSched"/>
      <sheetName val="X12.PLtrend"/>
      <sheetName val="X13.PLvariances"/>
      <sheetName val="X14.BStrend"/>
      <sheetName val="X15.BSvariances"/>
      <sheetName val="X21.CapitalCont"/>
      <sheetName val="X22.RBtrend"/>
      <sheetName val="X23.RBvariances"/>
      <sheetName val="X71.RevSuffDef"/>
      <sheetName val="X72.RevenueReq"/>
      <sheetName val="Y1.PrescribedRates"/>
      <sheetName val="Y2.ChartOfAccts"/>
      <sheetName val="Y3.AmortAccts"/>
      <sheetName val="Y4.PassthruAccts"/>
      <sheetName val="Y5.DistRateAccts"/>
      <sheetName val="Y6.ServiceRevAccts"/>
      <sheetName val="Y7.RPPrates"/>
      <sheetName val="Y8.VarianceThresholds"/>
      <sheetName val="Z1.ModelVariables"/>
      <sheetName val="Z2.ModelTables"/>
      <sheetName val="Z0.Disclaimer"/>
    </sheetNames>
    <sheetDataSet>
      <sheetData sheetId="0"/>
      <sheetData sheetId="1" refreshError="1">
        <row r="13">
          <cell r="C13">
            <v>2009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>
        <row r="10">
          <cell r="C10" t="str">
            <v xml:space="preserve">_x000D_
</v>
          </cell>
        </row>
        <row r="12">
          <cell r="C12" t="str">
            <v>2006 EDR Approved</v>
          </cell>
        </row>
        <row r="14">
          <cell r="C14" t="str">
            <v> </v>
          </cell>
        </row>
      </sheetData>
      <sheetData sheetId="59"/>
      <sheetData sheetId="6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/>
      <sheetData sheetId="2"/>
      <sheetData sheetId="3"/>
      <sheetData sheetId="4"/>
      <sheetData sheetId="5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oughput Revenue Analysis"/>
      <sheetName val="Distribution Revenue by Source"/>
      <sheetName val="Unit Revenues"/>
      <sheetName val="Dx. Revenue - Norm. Forecasts"/>
      <sheetName val="Forecast Data 2006 - 2008"/>
      <sheetName val="Distribution Rates 2006 - 20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313"/>
  <sheetViews>
    <sheetView topLeftCell="A89" zoomScale="115" zoomScaleNormal="115" workbookViewId="0">
      <selection activeCell="B97" sqref="B97:B99"/>
    </sheetView>
  </sheetViews>
  <sheetFormatPr defaultRowHeight="12.5" x14ac:dyDescent="0.25"/>
  <cols>
    <col min="1" max="1" width="20.26953125" style="98" customWidth="1"/>
    <col min="2" max="2" width="11" style="98" customWidth="1"/>
    <col min="3" max="4" width="11.1796875" style="98" customWidth="1"/>
    <col min="5" max="5" width="12.7265625" style="98" customWidth="1"/>
    <col min="6" max="6" width="11.453125" style="98" customWidth="1"/>
    <col min="7" max="7" width="11.26953125" style="98" customWidth="1"/>
    <col min="8" max="8" width="23.7265625" style="98" customWidth="1"/>
    <col min="9" max="9" width="10.54296875" style="98" customWidth="1"/>
    <col min="10" max="10" width="10" style="98" customWidth="1"/>
    <col min="11" max="11" width="5.26953125" style="98" bestFit="1" customWidth="1"/>
    <col min="12" max="12" width="10.54296875" style="98" customWidth="1"/>
    <col min="13" max="15" width="10.1796875" style="98" bestFit="1" customWidth="1"/>
    <col min="16" max="16" width="10.453125" style="98" customWidth="1"/>
    <col min="17" max="17" width="11" style="98" customWidth="1"/>
    <col min="18" max="18" width="10" style="98" customWidth="1"/>
    <col min="19" max="19" width="10.453125" style="98" customWidth="1"/>
    <col min="20" max="236" width="9.1796875" style="98"/>
    <col min="237" max="237" width="26.81640625" style="98" customWidth="1"/>
    <col min="238" max="238" width="0" style="98" hidden="1" customWidth="1"/>
    <col min="239" max="239" width="12.453125" style="98" customWidth="1"/>
    <col min="240" max="241" width="11.1796875" style="98" customWidth="1"/>
    <col min="242" max="242" width="12.1796875" style="98" customWidth="1"/>
    <col min="243" max="243" width="14" style="98" customWidth="1"/>
    <col min="244" max="244" width="12.54296875" style="98" customWidth="1"/>
    <col min="245" max="246" width="13.1796875" style="98" customWidth="1"/>
    <col min="247" max="248" width="9.1796875" style="98"/>
    <col min="249" max="249" width="11" style="98" customWidth="1"/>
    <col min="250" max="492" width="9.1796875" style="98"/>
    <col min="493" max="493" width="26.81640625" style="98" customWidth="1"/>
    <col min="494" max="494" width="0" style="98" hidden="1" customWidth="1"/>
    <col min="495" max="495" width="12.453125" style="98" customWidth="1"/>
    <col min="496" max="497" width="11.1796875" style="98" customWidth="1"/>
    <col min="498" max="498" width="12.1796875" style="98" customWidth="1"/>
    <col min="499" max="499" width="14" style="98" customWidth="1"/>
    <col min="500" max="500" width="12.54296875" style="98" customWidth="1"/>
    <col min="501" max="502" width="13.1796875" style="98" customWidth="1"/>
    <col min="503" max="504" width="9.1796875" style="98"/>
    <col min="505" max="505" width="11" style="98" customWidth="1"/>
    <col min="506" max="748" width="9.1796875" style="98"/>
    <col min="749" max="749" width="26.81640625" style="98" customWidth="1"/>
    <col min="750" max="750" width="0" style="98" hidden="1" customWidth="1"/>
    <col min="751" max="751" width="12.453125" style="98" customWidth="1"/>
    <col min="752" max="753" width="11.1796875" style="98" customWidth="1"/>
    <col min="754" max="754" width="12.1796875" style="98" customWidth="1"/>
    <col min="755" max="755" width="14" style="98" customWidth="1"/>
    <col min="756" max="756" width="12.54296875" style="98" customWidth="1"/>
    <col min="757" max="758" width="13.1796875" style="98" customWidth="1"/>
    <col min="759" max="760" width="9.1796875" style="98"/>
    <col min="761" max="761" width="11" style="98" customWidth="1"/>
    <col min="762" max="1004" width="9.1796875" style="98"/>
    <col min="1005" max="1005" width="26.81640625" style="98" customWidth="1"/>
    <col min="1006" max="1006" width="0" style="98" hidden="1" customWidth="1"/>
    <col min="1007" max="1007" width="12.453125" style="98" customWidth="1"/>
    <col min="1008" max="1009" width="11.1796875" style="98" customWidth="1"/>
    <col min="1010" max="1010" width="12.1796875" style="98" customWidth="1"/>
    <col min="1011" max="1011" width="14" style="98" customWidth="1"/>
    <col min="1012" max="1012" width="12.54296875" style="98" customWidth="1"/>
    <col min="1013" max="1014" width="13.1796875" style="98" customWidth="1"/>
    <col min="1015" max="1016" width="9.1796875" style="98"/>
    <col min="1017" max="1017" width="11" style="98" customWidth="1"/>
    <col min="1018" max="1260" width="9.1796875" style="98"/>
    <col min="1261" max="1261" width="26.81640625" style="98" customWidth="1"/>
    <col min="1262" max="1262" width="0" style="98" hidden="1" customWidth="1"/>
    <col min="1263" max="1263" width="12.453125" style="98" customWidth="1"/>
    <col min="1264" max="1265" width="11.1796875" style="98" customWidth="1"/>
    <col min="1266" max="1266" width="12.1796875" style="98" customWidth="1"/>
    <col min="1267" max="1267" width="14" style="98" customWidth="1"/>
    <col min="1268" max="1268" width="12.54296875" style="98" customWidth="1"/>
    <col min="1269" max="1270" width="13.1796875" style="98" customWidth="1"/>
    <col min="1271" max="1272" width="9.1796875" style="98"/>
    <col min="1273" max="1273" width="11" style="98" customWidth="1"/>
    <col min="1274" max="1516" width="9.1796875" style="98"/>
    <col min="1517" max="1517" width="26.81640625" style="98" customWidth="1"/>
    <col min="1518" max="1518" width="0" style="98" hidden="1" customWidth="1"/>
    <col min="1519" max="1519" width="12.453125" style="98" customWidth="1"/>
    <col min="1520" max="1521" width="11.1796875" style="98" customWidth="1"/>
    <col min="1522" max="1522" width="12.1796875" style="98" customWidth="1"/>
    <col min="1523" max="1523" width="14" style="98" customWidth="1"/>
    <col min="1524" max="1524" width="12.54296875" style="98" customWidth="1"/>
    <col min="1525" max="1526" width="13.1796875" style="98" customWidth="1"/>
    <col min="1527" max="1528" width="9.1796875" style="98"/>
    <col min="1529" max="1529" width="11" style="98" customWidth="1"/>
    <col min="1530" max="1772" width="9.1796875" style="98"/>
    <col min="1773" max="1773" width="26.81640625" style="98" customWidth="1"/>
    <col min="1774" max="1774" width="0" style="98" hidden="1" customWidth="1"/>
    <col min="1775" max="1775" width="12.453125" style="98" customWidth="1"/>
    <col min="1776" max="1777" width="11.1796875" style="98" customWidth="1"/>
    <col min="1778" max="1778" width="12.1796875" style="98" customWidth="1"/>
    <col min="1779" max="1779" width="14" style="98" customWidth="1"/>
    <col min="1780" max="1780" width="12.54296875" style="98" customWidth="1"/>
    <col min="1781" max="1782" width="13.1796875" style="98" customWidth="1"/>
    <col min="1783" max="1784" width="9.1796875" style="98"/>
    <col min="1785" max="1785" width="11" style="98" customWidth="1"/>
    <col min="1786" max="2028" width="9.1796875" style="98"/>
    <col min="2029" max="2029" width="26.81640625" style="98" customWidth="1"/>
    <col min="2030" max="2030" width="0" style="98" hidden="1" customWidth="1"/>
    <col min="2031" max="2031" width="12.453125" style="98" customWidth="1"/>
    <col min="2032" max="2033" width="11.1796875" style="98" customWidth="1"/>
    <col min="2034" max="2034" width="12.1796875" style="98" customWidth="1"/>
    <col min="2035" max="2035" width="14" style="98" customWidth="1"/>
    <col min="2036" max="2036" width="12.54296875" style="98" customWidth="1"/>
    <col min="2037" max="2038" width="13.1796875" style="98" customWidth="1"/>
    <col min="2039" max="2040" width="9.1796875" style="98"/>
    <col min="2041" max="2041" width="11" style="98" customWidth="1"/>
    <col min="2042" max="2284" width="9.1796875" style="98"/>
    <col min="2285" max="2285" width="26.81640625" style="98" customWidth="1"/>
    <col min="2286" max="2286" width="0" style="98" hidden="1" customWidth="1"/>
    <col min="2287" max="2287" width="12.453125" style="98" customWidth="1"/>
    <col min="2288" max="2289" width="11.1796875" style="98" customWidth="1"/>
    <col min="2290" max="2290" width="12.1796875" style="98" customWidth="1"/>
    <col min="2291" max="2291" width="14" style="98" customWidth="1"/>
    <col min="2292" max="2292" width="12.54296875" style="98" customWidth="1"/>
    <col min="2293" max="2294" width="13.1796875" style="98" customWidth="1"/>
    <col min="2295" max="2296" width="9.1796875" style="98"/>
    <col min="2297" max="2297" width="11" style="98" customWidth="1"/>
    <col min="2298" max="2540" width="9.1796875" style="98"/>
    <col min="2541" max="2541" width="26.81640625" style="98" customWidth="1"/>
    <col min="2542" max="2542" width="0" style="98" hidden="1" customWidth="1"/>
    <col min="2543" max="2543" width="12.453125" style="98" customWidth="1"/>
    <col min="2544" max="2545" width="11.1796875" style="98" customWidth="1"/>
    <col min="2546" max="2546" width="12.1796875" style="98" customWidth="1"/>
    <col min="2547" max="2547" width="14" style="98" customWidth="1"/>
    <col min="2548" max="2548" width="12.54296875" style="98" customWidth="1"/>
    <col min="2549" max="2550" width="13.1796875" style="98" customWidth="1"/>
    <col min="2551" max="2552" width="9.1796875" style="98"/>
    <col min="2553" max="2553" width="11" style="98" customWidth="1"/>
    <col min="2554" max="2796" width="9.1796875" style="98"/>
    <col min="2797" max="2797" width="26.81640625" style="98" customWidth="1"/>
    <col min="2798" max="2798" width="0" style="98" hidden="1" customWidth="1"/>
    <col min="2799" max="2799" width="12.453125" style="98" customWidth="1"/>
    <col min="2800" max="2801" width="11.1796875" style="98" customWidth="1"/>
    <col min="2802" max="2802" width="12.1796875" style="98" customWidth="1"/>
    <col min="2803" max="2803" width="14" style="98" customWidth="1"/>
    <col min="2804" max="2804" width="12.54296875" style="98" customWidth="1"/>
    <col min="2805" max="2806" width="13.1796875" style="98" customWidth="1"/>
    <col min="2807" max="2808" width="9.1796875" style="98"/>
    <col min="2809" max="2809" width="11" style="98" customWidth="1"/>
    <col min="2810" max="3052" width="9.1796875" style="98"/>
    <col min="3053" max="3053" width="26.81640625" style="98" customWidth="1"/>
    <col min="3054" max="3054" width="0" style="98" hidden="1" customWidth="1"/>
    <col min="3055" max="3055" width="12.453125" style="98" customWidth="1"/>
    <col min="3056" max="3057" width="11.1796875" style="98" customWidth="1"/>
    <col min="3058" max="3058" width="12.1796875" style="98" customWidth="1"/>
    <col min="3059" max="3059" width="14" style="98" customWidth="1"/>
    <col min="3060" max="3060" width="12.54296875" style="98" customWidth="1"/>
    <col min="3061" max="3062" width="13.1796875" style="98" customWidth="1"/>
    <col min="3063" max="3064" width="9.1796875" style="98"/>
    <col min="3065" max="3065" width="11" style="98" customWidth="1"/>
    <col min="3066" max="3308" width="9.1796875" style="98"/>
    <col min="3309" max="3309" width="26.81640625" style="98" customWidth="1"/>
    <col min="3310" max="3310" width="0" style="98" hidden="1" customWidth="1"/>
    <col min="3311" max="3311" width="12.453125" style="98" customWidth="1"/>
    <col min="3312" max="3313" width="11.1796875" style="98" customWidth="1"/>
    <col min="3314" max="3314" width="12.1796875" style="98" customWidth="1"/>
    <col min="3315" max="3315" width="14" style="98" customWidth="1"/>
    <col min="3316" max="3316" width="12.54296875" style="98" customWidth="1"/>
    <col min="3317" max="3318" width="13.1796875" style="98" customWidth="1"/>
    <col min="3319" max="3320" width="9.1796875" style="98"/>
    <col min="3321" max="3321" width="11" style="98" customWidth="1"/>
    <col min="3322" max="3564" width="9.1796875" style="98"/>
    <col min="3565" max="3565" width="26.81640625" style="98" customWidth="1"/>
    <col min="3566" max="3566" width="0" style="98" hidden="1" customWidth="1"/>
    <col min="3567" max="3567" width="12.453125" style="98" customWidth="1"/>
    <col min="3568" max="3569" width="11.1796875" style="98" customWidth="1"/>
    <col min="3570" max="3570" width="12.1796875" style="98" customWidth="1"/>
    <col min="3571" max="3571" width="14" style="98" customWidth="1"/>
    <col min="3572" max="3572" width="12.54296875" style="98" customWidth="1"/>
    <col min="3573" max="3574" width="13.1796875" style="98" customWidth="1"/>
    <col min="3575" max="3576" width="9.1796875" style="98"/>
    <col min="3577" max="3577" width="11" style="98" customWidth="1"/>
    <col min="3578" max="3820" width="9.1796875" style="98"/>
    <col min="3821" max="3821" width="26.81640625" style="98" customWidth="1"/>
    <col min="3822" max="3822" width="0" style="98" hidden="1" customWidth="1"/>
    <col min="3823" max="3823" width="12.453125" style="98" customWidth="1"/>
    <col min="3824" max="3825" width="11.1796875" style="98" customWidth="1"/>
    <col min="3826" max="3826" width="12.1796875" style="98" customWidth="1"/>
    <col min="3827" max="3827" width="14" style="98" customWidth="1"/>
    <col min="3828" max="3828" width="12.54296875" style="98" customWidth="1"/>
    <col min="3829" max="3830" width="13.1796875" style="98" customWidth="1"/>
    <col min="3831" max="3832" width="9.1796875" style="98"/>
    <col min="3833" max="3833" width="11" style="98" customWidth="1"/>
    <col min="3834" max="4076" width="9.1796875" style="98"/>
    <col min="4077" max="4077" width="26.81640625" style="98" customWidth="1"/>
    <col min="4078" max="4078" width="0" style="98" hidden="1" customWidth="1"/>
    <col min="4079" max="4079" width="12.453125" style="98" customWidth="1"/>
    <col min="4080" max="4081" width="11.1796875" style="98" customWidth="1"/>
    <col min="4082" max="4082" width="12.1796875" style="98" customWidth="1"/>
    <col min="4083" max="4083" width="14" style="98" customWidth="1"/>
    <col min="4084" max="4084" width="12.54296875" style="98" customWidth="1"/>
    <col min="4085" max="4086" width="13.1796875" style="98" customWidth="1"/>
    <col min="4087" max="4088" width="9.1796875" style="98"/>
    <col min="4089" max="4089" width="11" style="98" customWidth="1"/>
    <col min="4090" max="4332" width="9.1796875" style="98"/>
    <col min="4333" max="4333" width="26.81640625" style="98" customWidth="1"/>
    <col min="4334" max="4334" width="0" style="98" hidden="1" customWidth="1"/>
    <col min="4335" max="4335" width="12.453125" style="98" customWidth="1"/>
    <col min="4336" max="4337" width="11.1796875" style="98" customWidth="1"/>
    <col min="4338" max="4338" width="12.1796875" style="98" customWidth="1"/>
    <col min="4339" max="4339" width="14" style="98" customWidth="1"/>
    <col min="4340" max="4340" width="12.54296875" style="98" customWidth="1"/>
    <col min="4341" max="4342" width="13.1796875" style="98" customWidth="1"/>
    <col min="4343" max="4344" width="9.1796875" style="98"/>
    <col min="4345" max="4345" width="11" style="98" customWidth="1"/>
    <col min="4346" max="4588" width="9.1796875" style="98"/>
    <col min="4589" max="4589" width="26.81640625" style="98" customWidth="1"/>
    <col min="4590" max="4590" width="0" style="98" hidden="1" customWidth="1"/>
    <col min="4591" max="4591" width="12.453125" style="98" customWidth="1"/>
    <col min="4592" max="4593" width="11.1796875" style="98" customWidth="1"/>
    <col min="4594" max="4594" width="12.1796875" style="98" customWidth="1"/>
    <col min="4595" max="4595" width="14" style="98" customWidth="1"/>
    <col min="4596" max="4596" width="12.54296875" style="98" customWidth="1"/>
    <col min="4597" max="4598" width="13.1796875" style="98" customWidth="1"/>
    <col min="4599" max="4600" width="9.1796875" style="98"/>
    <col min="4601" max="4601" width="11" style="98" customWidth="1"/>
    <col min="4602" max="4844" width="9.1796875" style="98"/>
    <col min="4845" max="4845" width="26.81640625" style="98" customWidth="1"/>
    <col min="4846" max="4846" width="0" style="98" hidden="1" customWidth="1"/>
    <col min="4847" max="4847" width="12.453125" style="98" customWidth="1"/>
    <col min="4848" max="4849" width="11.1796875" style="98" customWidth="1"/>
    <col min="4850" max="4850" width="12.1796875" style="98" customWidth="1"/>
    <col min="4851" max="4851" width="14" style="98" customWidth="1"/>
    <col min="4852" max="4852" width="12.54296875" style="98" customWidth="1"/>
    <col min="4853" max="4854" width="13.1796875" style="98" customWidth="1"/>
    <col min="4855" max="4856" width="9.1796875" style="98"/>
    <col min="4857" max="4857" width="11" style="98" customWidth="1"/>
    <col min="4858" max="5100" width="9.1796875" style="98"/>
    <col min="5101" max="5101" width="26.81640625" style="98" customWidth="1"/>
    <col min="5102" max="5102" width="0" style="98" hidden="1" customWidth="1"/>
    <col min="5103" max="5103" width="12.453125" style="98" customWidth="1"/>
    <col min="5104" max="5105" width="11.1796875" style="98" customWidth="1"/>
    <col min="5106" max="5106" width="12.1796875" style="98" customWidth="1"/>
    <col min="5107" max="5107" width="14" style="98" customWidth="1"/>
    <col min="5108" max="5108" width="12.54296875" style="98" customWidth="1"/>
    <col min="5109" max="5110" width="13.1796875" style="98" customWidth="1"/>
    <col min="5111" max="5112" width="9.1796875" style="98"/>
    <col min="5113" max="5113" width="11" style="98" customWidth="1"/>
    <col min="5114" max="5356" width="9.1796875" style="98"/>
    <col min="5357" max="5357" width="26.81640625" style="98" customWidth="1"/>
    <col min="5358" max="5358" width="0" style="98" hidden="1" customWidth="1"/>
    <col min="5359" max="5359" width="12.453125" style="98" customWidth="1"/>
    <col min="5360" max="5361" width="11.1796875" style="98" customWidth="1"/>
    <col min="5362" max="5362" width="12.1796875" style="98" customWidth="1"/>
    <col min="5363" max="5363" width="14" style="98" customWidth="1"/>
    <col min="5364" max="5364" width="12.54296875" style="98" customWidth="1"/>
    <col min="5365" max="5366" width="13.1796875" style="98" customWidth="1"/>
    <col min="5367" max="5368" width="9.1796875" style="98"/>
    <col min="5369" max="5369" width="11" style="98" customWidth="1"/>
    <col min="5370" max="5612" width="9.1796875" style="98"/>
    <col min="5613" max="5613" width="26.81640625" style="98" customWidth="1"/>
    <col min="5614" max="5614" width="0" style="98" hidden="1" customWidth="1"/>
    <col min="5615" max="5615" width="12.453125" style="98" customWidth="1"/>
    <col min="5616" max="5617" width="11.1796875" style="98" customWidth="1"/>
    <col min="5618" max="5618" width="12.1796875" style="98" customWidth="1"/>
    <col min="5619" max="5619" width="14" style="98" customWidth="1"/>
    <col min="5620" max="5620" width="12.54296875" style="98" customWidth="1"/>
    <col min="5621" max="5622" width="13.1796875" style="98" customWidth="1"/>
    <col min="5623" max="5624" width="9.1796875" style="98"/>
    <col min="5625" max="5625" width="11" style="98" customWidth="1"/>
    <col min="5626" max="5868" width="9.1796875" style="98"/>
    <col min="5869" max="5869" width="26.81640625" style="98" customWidth="1"/>
    <col min="5870" max="5870" width="0" style="98" hidden="1" customWidth="1"/>
    <col min="5871" max="5871" width="12.453125" style="98" customWidth="1"/>
    <col min="5872" max="5873" width="11.1796875" style="98" customWidth="1"/>
    <col min="5874" max="5874" width="12.1796875" style="98" customWidth="1"/>
    <col min="5875" max="5875" width="14" style="98" customWidth="1"/>
    <col min="5876" max="5876" width="12.54296875" style="98" customWidth="1"/>
    <col min="5877" max="5878" width="13.1796875" style="98" customWidth="1"/>
    <col min="5879" max="5880" width="9.1796875" style="98"/>
    <col min="5881" max="5881" width="11" style="98" customWidth="1"/>
    <col min="5882" max="6124" width="9.1796875" style="98"/>
    <col min="6125" max="6125" width="26.81640625" style="98" customWidth="1"/>
    <col min="6126" max="6126" width="0" style="98" hidden="1" customWidth="1"/>
    <col min="6127" max="6127" width="12.453125" style="98" customWidth="1"/>
    <col min="6128" max="6129" width="11.1796875" style="98" customWidth="1"/>
    <col min="6130" max="6130" width="12.1796875" style="98" customWidth="1"/>
    <col min="6131" max="6131" width="14" style="98" customWidth="1"/>
    <col min="6132" max="6132" width="12.54296875" style="98" customWidth="1"/>
    <col min="6133" max="6134" width="13.1796875" style="98" customWidth="1"/>
    <col min="6135" max="6136" width="9.1796875" style="98"/>
    <col min="6137" max="6137" width="11" style="98" customWidth="1"/>
    <col min="6138" max="6380" width="9.1796875" style="98"/>
    <col min="6381" max="6381" width="26.81640625" style="98" customWidth="1"/>
    <col min="6382" max="6382" width="0" style="98" hidden="1" customWidth="1"/>
    <col min="6383" max="6383" width="12.453125" style="98" customWidth="1"/>
    <col min="6384" max="6385" width="11.1796875" style="98" customWidth="1"/>
    <col min="6386" max="6386" width="12.1796875" style="98" customWidth="1"/>
    <col min="6387" max="6387" width="14" style="98" customWidth="1"/>
    <col min="6388" max="6388" width="12.54296875" style="98" customWidth="1"/>
    <col min="6389" max="6390" width="13.1796875" style="98" customWidth="1"/>
    <col min="6391" max="6392" width="9.1796875" style="98"/>
    <col min="6393" max="6393" width="11" style="98" customWidth="1"/>
    <col min="6394" max="6636" width="9.1796875" style="98"/>
    <col min="6637" max="6637" width="26.81640625" style="98" customWidth="1"/>
    <col min="6638" max="6638" width="0" style="98" hidden="1" customWidth="1"/>
    <col min="6639" max="6639" width="12.453125" style="98" customWidth="1"/>
    <col min="6640" max="6641" width="11.1796875" style="98" customWidth="1"/>
    <col min="6642" max="6642" width="12.1796875" style="98" customWidth="1"/>
    <col min="6643" max="6643" width="14" style="98" customWidth="1"/>
    <col min="6644" max="6644" width="12.54296875" style="98" customWidth="1"/>
    <col min="6645" max="6646" width="13.1796875" style="98" customWidth="1"/>
    <col min="6647" max="6648" width="9.1796875" style="98"/>
    <col min="6649" max="6649" width="11" style="98" customWidth="1"/>
    <col min="6650" max="6892" width="9.1796875" style="98"/>
    <col min="6893" max="6893" width="26.81640625" style="98" customWidth="1"/>
    <col min="6894" max="6894" width="0" style="98" hidden="1" customWidth="1"/>
    <col min="6895" max="6895" width="12.453125" style="98" customWidth="1"/>
    <col min="6896" max="6897" width="11.1796875" style="98" customWidth="1"/>
    <col min="6898" max="6898" width="12.1796875" style="98" customWidth="1"/>
    <col min="6899" max="6899" width="14" style="98" customWidth="1"/>
    <col min="6900" max="6900" width="12.54296875" style="98" customWidth="1"/>
    <col min="6901" max="6902" width="13.1796875" style="98" customWidth="1"/>
    <col min="6903" max="6904" width="9.1796875" style="98"/>
    <col min="6905" max="6905" width="11" style="98" customWidth="1"/>
    <col min="6906" max="7148" width="9.1796875" style="98"/>
    <col min="7149" max="7149" width="26.81640625" style="98" customWidth="1"/>
    <col min="7150" max="7150" width="0" style="98" hidden="1" customWidth="1"/>
    <col min="7151" max="7151" width="12.453125" style="98" customWidth="1"/>
    <col min="7152" max="7153" width="11.1796875" style="98" customWidth="1"/>
    <col min="7154" max="7154" width="12.1796875" style="98" customWidth="1"/>
    <col min="7155" max="7155" width="14" style="98" customWidth="1"/>
    <col min="7156" max="7156" width="12.54296875" style="98" customWidth="1"/>
    <col min="7157" max="7158" width="13.1796875" style="98" customWidth="1"/>
    <col min="7159" max="7160" width="9.1796875" style="98"/>
    <col min="7161" max="7161" width="11" style="98" customWidth="1"/>
    <col min="7162" max="7404" width="9.1796875" style="98"/>
    <col min="7405" max="7405" width="26.81640625" style="98" customWidth="1"/>
    <col min="7406" max="7406" width="0" style="98" hidden="1" customWidth="1"/>
    <col min="7407" max="7407" width="12.453125" style="98" customWidth="1"/>
    <col min="7408" max="7409" width="11.1796875" style="98" customWidth="1"/>
    <col min="7410" max="7410" width="12.1796875" style="98" customWidth="1"/>
    <col min="7411" max="7411" width="14" style="98" customWidth="1"/>
    <col min="7412" max="7412" width="12.54296875" style="98" customWidth="1"/>
    <col min="7413" max="7414" width="13.1796875" style="98" customWidth="1"/>
    <col min="7415" max="7416" width="9.1796875" style="98"/>
    <col min="7417" max="7417" width="11" style="98" customWidth="1"/>
    <col min="7418" max="7660" width="9.1796875" style="98"/>
    <col min="7661" max="7661" width="26.81640625" style="98" customWidth="1"/>
    <col min="7662" max="7662" width="0" style="98" hidden="1" customWidth="1"/>
    <col min="7663" max="7663" width="12.453125" style="98" customWidth="1"/>
    <col min="7664" max="7665" width="11.1796875" style="98" customWidth="1"/>
    <col min="7666" max="7666" width="12.1796875" style="98" customWidth="1"/>
    <col min="7667" max="7667" width="14" style="98" customWidth="1"/>
    <col min="7668" max="7668" width="12.54296875" style="98" customWidth="1"/>
    <col min="7669" max="7670" width="13.1796875" style="98" customWidth="1"/>
    <col min="7671" max="7672" width="9.1796875" style="98"/>
    <col min="7673" max="7673" width="11" style="98" customWidth="1"/>
    <col min="7674" max="7916" width="9.1796875" style="98"/>
    <col min="7917" max="7917" width="26.81640625" style="98" customWidth="1"/>
    <col min="7918" max="7918" width="0" style="98" hidden="1" customWidth="1"/>
    <col min="7919" max="7919" width="12.453125" style="98" customWidth="1"/>
    <col min="7920" max="7921" width="11.1796875" style="98" customWidth="1"/>
    <col min="7922" max="7922" width="12.1796875" style="98" customWidth="1"/>
    <col min="7923" max="7923" width="14" style="98" customWidth="1"/>
    <col min="7924" max="7924" width="12.54296875" style="98" customWidth="1"/>
    <col min="7925" max="7926" width="13.1796875" style="98" customWidth="1"/>
    <col min="7927" max="7928" width="9.1796875" style="98"/>
    <col min="7929" max="7929" width="11" style="98" customWidth="1"/>
    <col min="7930" max="8172" width="9.1796875" style="98"/>
    <col min="8173" max="8173" width="26.81640625" style="98" customWidth="1"/>
    <col min="8174" max="8174" width="0" style="98" hidden="1" customWidth="1"/>
    <col min="8175" max="8175" width="12.453125" style="98" customWidth="1"/>
    <col min="8176" max="8177" width="11.1796875" style="98" customWidth="1"/>
    <col min="8178" max="8178" width="12.1796875" style="98" customWidth="1"/>
    <col min="8179" max="8179" width="14" style="98" customWidth="1"/>
    <col min="8180" max="8180" width="12.54296875" style="98" customWidth="1"/>
    <col min="8181" max="8182" width="13.1796875" style="98" customWidth="1"/>
    <col min="8183" max="8184" width="9.1796875" style="98"/>
    <col min="8185" max="8185" width="11" style="98" customWidth="1"/>
    <col min="8186" max="8428" width="9.1796875" style="98"/>
    <col min="8429" max="8429" width="26.81640625" style="98" customWidth="1"/>
    <col min="8430" max="8430" width="0" style="98" hidden="1" customWidth="1"/>
    <col min="8431" max="8431" width="12.453125" style="98" customWidth="1"/>
    <col min="8432" max="8433" width="11.1796875" style="98" customWidth="1"/>
    <col min="8434" max="8434" width="12.1796875" style="98" customWidth="1"/>
    <col min="8435" max="8435" width="14" style="98" customWidth="1"/>
    <col min="8436" max="8436" width="12.54296875" style="98" customWidth="1"/>
    <col min="8437" max="8438" width="13.1796875" style="98" customWidth="1"/>
    <col min="8439" max="8440" width="9.1796875" style="98"/>
    <col min="8441" max="8441" width="11" style="98" customWidth="1"/>
    <col min="8442" max="8684" width="9.1796875" style="98"/>
    <col min="8685" max="8685" width="26.81640625" style="98" customWidth="1"/>
    <col min="8686" max="8686" width="0" style="98" hidden="1" customWidth="1"/>
    <col min="8687" max="8687" width="12.453125" style="98" customWidth="1"/>
    <col min="8688" max="8689" width="11.1796875" style="98" customWidth="1"/>
    <col min="8690" max="8690" width="12.1796875" style="98" customWidth="1"/>
    <col min="8691" max="8691" width="14" style="98" customWidth="1"/>
    <col min="8692" max="8692" width="12.54296875" style="98" customWidth="1"/>
    <col min="8693" max="8694" width="13.1796875" style="98" customWidth="1"/>
    <col min="8695" max="8696" width="9.1796875" style="98"/>
    <col min="8697" max="8697" width="11" style="98" customWidth="1"/>
    <col min="8698" max="8940" width="9.1796875" style="98"/>
    <col min="8941" max="8941" width="26.81640625" style="98" customWidth="1"/>
    <col min="8942" max="8942" width="0" style="98" hidden="1" customWidth="1"/>
    <col min="8943" max="8943" width="12.453125" style="98" customWidth="1"/>
    <col min="8944" max="8945" width="11.1796875" style="98" customWidth="1"/>
    <col min="8946" max="8946" width="12.1796875" style="98" customWidth="1"/>
    <col min="8947" max="8947" width="14" style="98" customWidth="1"/>
    <col min="8948" max="8948" width="12.54296875" style="98" customWidth="1"/>
    <col min="8949" max="8950" width="13.1796875" style="98" customWidth="1"/>
    <col min="8951" max="8952" width="9.1796875" style="98"/>
    <col min="8953" max="8953" width="11" style="98" customWidth="1"/>
    <col min="8954" max="9196" width="9.1796875" style="98"/>
    <col min="9197" max="9197" width="26.81640625" style="98" customWidth="1"/>
    <col min="9198" max="9198" width="0" style="98" hidden="1" customWidth="1"/>
    <col min="9199" max="9199" width="12.453125" style="98" customWidth="1"/>
    <col min="9200" max="9201" width="11.1796875" style="98" customWidth="1"/>
    <col min="9202" max="9202" width="12.1796875" style="98" customWidth="1"/>
    <col min="9203" max="9203" width="14" style="98" customWidth="1"/>
    <col min="9204" max="9204" width="12.54296875" style="98" customWidth="1"/>
    <col min="9205" max="9206" width="13.1796875" style="98" customWidth="1"/>
    <col min="9207" max="9208" width="9.1796875" style="98"/>
    <col min="9209" max="9209" width="11" style="98" customWidth="1"/>
    <col min="9210" max="9452" width="9.1796875" style="98"/>
    <col min="9453" max="9453" width="26.81640625" style="98" customWidth="1"/>
    <col min="9454" max="9454" width="0" style="98" hidden="1" customWidth="1"/>
    <col min="9455" max="9455" width="12.453125" style="98" customWidth="1"/>
    <col min="9456" max="9457" width="11.1796875" style="98" customWidth="1"/>
    <col min="9458" max="9458" width="12.1796875" style="98" customWidth="1"/>
    <col min="9459" max="9459" width="14" style="98" customWidth="1"/>
    <col min="9460" max="9460" width="12.54296875" style="98" customWidth="1"/>
    <col min="9461" max="9462" width="13.1796875" style="98" customWidth="1"/>
    <col min="9463" max="9464" width="9.1796875" style="98"/>
    <col min="9465" max="9465" width="11" style="98" customWidth="1"/>
    <col min="9466" max="9708" width="9.1796875" style="98"/>
    <col min="9709" max="9709" width="26.81640625" style="98" customWidth="1"/>
    <col min="9710" max="9710" width="0" style="98" hidden="1" customWidth="1"/>
    <col min="9711" max="9711" width="12.453125" style="98" customWidth="1"/>
    <col min="9712" max="9713" width="11.1796875" style="98" customWidth="1"/>
    <col min="9714" max="9714" width="12.1796875" style="98" customWidth="1"/>
    <col min="9715" max="9715" width="14" style="98" customWidth="1"/>
    <col min="9716" max="9716" width="12.54296875" style="98" customWidth="1"/>
    <col min="9717" max="9718" width="13.1796875" style="98" customWidth="1"/>
    <col min="9719" max="9720" width="9.1796875" style="98"/>
    <col min="9721" max="9721" width="11" style="98" customWidth="1"/>
    <col min="9722" max="9964" width="9.1796875" style="98"/>
    <col min="9965" max="9965" width="26.81640625" style="98" customWidth="1"/>
    <col min="9966" max="9966" width="0" style="98" hidden="1" customWidth="1"/>
    <col min="9967" max="9967" width="12.453125" style="98" customWidth="1"/>
    <col min="9968" max="9969" width="11.1796875" style="98" customWidth="1"/>
    <col min="9970" max="9970" width="12.1796875" style="98" customWidth="1"/>
    <col min="9971" max="9971" width="14" style="98" customWidth="1"/>
    <col min="9972" max="9972" width="12.54296875" style="98" customWidth="1"/>
    <col min="9973" max="9974" width="13.1796875" style="98" customWidth="1"/>
    <col min="9975" max="9976" width="9.1796875" style="98"/>
    <col min="9977" max="9977" width="11" style="98" customWidth="1"/>
    <col min="9978" max="10220" width="9.1796875" style="98"/>
    <col min="10221" max="10221" width="26.81640625" style="98" customWidth="1"/>
    <col min="10222" max="10222" width="0" style="98" hidden="1" customWidth="1"/>
    <col min="10223" max="10223" width="12.453125" style="98" customWidth="1"/>
    <col min="10224" max="10225" width="11.1796875" style="98" customWidth="1"/>
    <col min="10226" max="10226" width="12.1796875" style="98" customWidth="1"/>
    <col min="10227" max="10227" width="14" style="98" customWidth="1"/>
    <col min="10228" max="10228" width="12.54296875" style="98" customWidth="1"/>
    <col min="10229" max="10230" width="13.1796875" style="98" customWidth="1"/>
    <col min="10231" max="10232" width="9.1796875" style="98"/>
    <col min="10233" max="10233" width="11" style="98" customWidth="1"/>
    <col min="10234" max="10476" width="9.1796875" style="98"/>
    <col min="10477" max="10477" width="26.81640625" style="98" customWidth="1"/>
    <col min="10478" max="10478" width="0" style="98" hidden="1" customWidth="1"/>
    <col min="10479" max="10479" width="12.453125" style="98" customWidth="1"/>
    <col min="10480" max="10481" width="11.1796875" style="98" customWidth="1"/>
    <col min="10482" max="10482" width="12.1796875" style="98" customWidth="1"/>
    <col min="10483" max="10483" width="14" style="98" customWidth="1"/>
    <col min="10484" max="10484" width="12.54296875" style="98" customWidth="1"/>
    <col min="10485" max="10486" width="13.1796875" style="98" customWidth="1"/>
    <col min="10487" max="10488" width="9.1796875" style="98"/>
    <col min="10489" max="10489" width="11" style="98" customWidth="1"/>
    <col min="10490" max="10732" width="9.1796875" style="98"/>
    <col min="10733" max="10733" width="26.81640625" style="98" customWidth="1"/>
    <col min="10734" max="10734" width="0" style="98" hidden="1" customWidth="1"/>
    <col min="10735" max="10735" width="12.453125" style="98" customWidth="1"/>
    <col min="10736" max="10737" width="11.1796875" style="98" customWidth="1"/>
    <col min="10738" max="10738" width="12.1796875" style="98" customWidth="1"/>
    <col min="10739" max="10739" width="14" style="98" customWidth="1"/>
    <col min="10740" max="10740" width="12.54296875" style="98" customWidth="1"/>
    <col min="10741" max="10742" width="13.1796875" style="98" customWidth="1"/>
    <col min="10743" max="10744" width="9.1796875" style="98"/>
    <col min="10745" max="10745" width="11" style="98" customWidth="1"/>
    <col min="10746" max="10988" width="9.1796875" style="98"/>
    <col min="10989" max="10989" width="26.81640625" style="98" customWidth="1"/>
    <col min="10990" max="10990" width="0" style="98" hidden="1" customWidth="1"/>
    <col min="10991" max="10991" width="12.453125" style="98" customWidth="1"/>
    <col min="10992" max="10993" width="11.1796875" style="98" customWidth="1"/>
    <col min="10994" max="10994" width="12.1796875" style="98" customWidth="1"/>
    <col min="10995" max="10995" width="14" style="98" customWidth="1"/>
    <col min="10996" max="10996" width="12.54296875" style="98" customWidth="1"/>
    <col min="10997" max="10998" width="13.1796875" style="98" customWidth="1"/>
    <col min="10999" max="11000" width="9.1796875" style="98"/>
    <col min="11001" max="11001" width="11" style="98" customWidth="1"/>
    <col min="11002" max="11244" width="9.1796875" style="98"/>
    <col min="11245" max="11245" width="26.81640625" style="98" customWidth="1"/>
    <col min="11246" max="11246" width="0" style="98" hidden="1" customWidth="1"/>
    <col min="11247" max="11247" width="12.453125" style="98" customWidth="1"/>
    <col min="11248" max="11249" width="11.1796875" style="98" customWidth="1"/>
    <col min="11250" max="11250" width="12.1796875" style="98" customWidth="1"/>
    <col min="11251" max="11251" width="14" style="98" customWidth="1"/>
    <col min="11252" max="11252" width="12.54296875" style="98" customWidth="1"/>
    <col min="11253" max="11254" width="13.1796875" style="98" customWidth="1"/>
    <col min="11255" max="11256" width="9.1796875" style="98"/>
    <col min="11257" max="11257" width="11" style="98" customWidth="1"/>
    <col min="11258" max="11500" width="9.1796875" style="98"/>
    <col min="11501" max="11501" width="26.81640625" style="98" customWidth="1"/>
    <col min="11502" max="11502" width="0" style="98" hidden="1" customWidth="1"/>
    <col min="11503" max="11503" width="12.453125" style="98" customWidth="1"/>
    <col min="11504" max="11505" width="11.1796875" style="98" customWidth="1"/>
    <col min="11506" max="11506" width="12.1796875" style="98" customWidth="1"/>
    <col min="11507" max="11507" width="14" style="98" customWidth="1"/>
    <col min="11508" max="11508" width="12.54296875" style="98" customWidth="1"/>
    <col min="11509" max="11510" width="13.1796875" style="98" customWidth="1"/>
    <col min="11511" max="11512" width="9.1796875" style="98"/>
    <col min="11513" max="11513" width="11" style="98" customWidth="1"/>
    <col min="11514" max="11756" width="9.1796875" style="98"/>
    <col min="11757" max="11757" width="26.81640625" style="98" customWidth="1"/>
    <col min="11758" max="11758" width="0" style="98" hidden="1" customWidth="1"/>
    <col min="11759" max="11759" width="12.453125" style="98" customWidth="1"/>
    <col min="11760" max="11761" width="11.1796875" style="98" customWidth="1"/>
    <col min="11762" max="11762" width="12.1796875" style="98" customWidth="1"/>
    <col min="11763" max="11763" width="14" style="98" customWidth="1"/>
    <col min="11764" max="11764" width="12.54296875" style="98" customWidth="1"/>
    <col min="11765" max="11766" width="13.1796875" style="98" customWidth="1"/>
    <col min="11767" max="11768" width="9.1796875" style="98"/>
    <col min="11769" max="11769" width="11" style="98" customWidth="1"/>
    <col min="11770" max="12012" width="9.1796875" style="98"/>
    <col min="12013" max="12013" width="26.81640625" style="98" customWidth="1"/>
    <col min="12014" max="12014" width="0" style="98" hidden="1" customWidth="1"/>
    <col min="12015" max="12015" width="12.453125" style="98" customWidth="1"/>
    <col min="12016" max="12017" width="11.1796875" style="98" customWidth="1"/>
    <col min="12018" max="12018" width="12.1796875" style="98" customWidth="1"/>
    <col min="12019" max="12019" width="14" style="98" customWidth="1"/>
    <col min="12020" max="12020" width="12.54296875" style="98" customWidth="1"/>
    <col min="12021" max="12022" width="13.1796875" style="98" customWidth="1"/>
    <col min="12023" max="12024" width="9.1796875" style="98"/>
    <col min="12025" max="12025" width="11" style="98" customWidth="1"/>
    <col min="12026" max="12268" width="9.1796875" style="98"/>
    <col min="12269" max="12269" width="26.81640625" style="98" customWidth="1"/>
    <col min="12270" max="12270" width="0" style="98" hidden="1" customWidth="1"/>
    <col min="12271" max="12271" width="12.453125" style="98" customWidth="1"/>
    <col min="12272" max="12273" width="11.1796875" style="98" customWidth="1"/>
    <col min="12274" max="12274" width="12.1796875" style="98" customWidth="1"/>
    <col min="12275" max="12275" width="14" style="98" customWidth="1"/>
    <col min="12276" max="12276" width="12.54296875" style="98" customWidth="1"/>
    <col min="12277" max="12278" width="13.1796875" style="98" customWidth="1"/>
    <col min="12279" max="12280" width="9.1796875" style="98"/>
    <col min="12281" max="12281" width="11" style="98" customWidth="1"/>
    <col min="12282" max="12524" width="9.1796875" style="98"/>
    <col min="12525" max="12525" width="26.81640625" style="98" customWidth="1"/>
    <col min="12526" max="12526" width="0" style="98" hidden="1" customWidth="1"/>
    <col min="12527" max="12527" width="12.453125" style="98" customWidth="1"/>
    <col min="12528" max="12529" width="11.1796875" style="98" customWidth="1"/>
    <col min="12530" max="12530" width="12.1796875" style="98" customWidth="1"/>
    <col min="12531" max="12531" width="14" style="98" customWidth="1"/>
    <col min="12532" max="12532" width="12.54296875" style="98" customWidth="1"/>
    <col min="12533" max="12534" width="13.1796875" style="98" customWidth="1"/>
    <col min="12535" max="12536" width="9.1796875" style="98"/>
    <col min="12537" max="12537" width="11" style="98" customWidth="1"/>
    <col min="12538" max="12780" width="9.1796875" style="98"/>
    <col min="12781" max="12781" width="26.81640625" style="98" customWidth="1"/>
    <col min="12782" max="12782" width="0" style="98" hidden="1" customWidth="1"/>
    <col min="12783" max="12783" width="12.453125" style="98" customWidth="1"/>
    <col min="12784" max="12785" width="11.1796875" style="98" customWidth="1"/>
    <col min="12786" max="12786" width="12.1796875" style="98" customWidth="1"/>
    <col min="12787" max="12787" width="14" style="98" customWidth="1"/>
    <col min="12788" max="12788" width="12.54296875" style="98" customWidth="1"/>
    <col min="12789" max="12790" width="13.1796875" style="98" customWidth="1"/>
    <col min="12791" max="12792" width="9.1796875" style="98"/>
    <col min="12793" max="12793" width="11" style="98" customWidth="1"/>
    <col min="12794" max="13036" width="9.1796875" style="98"/>
    <col min="13037" max="13037" width="26.81640625" style="98" customWidth="1"/>
    <col min="13038" max="13038" width="0" style="98" hidden="1" customWidth="1"/>
    <col min="13039" max="13039" width="12.453125" style="98" customWidth="1"/>
    <col min="13040" max="13041" width="11.1796875" style="98" customWidth="1"/>
    <col min="13042" max="13042" width="12.1796875" style="98" customWidth="1"/>
    <col min="13043" max="13043" width="14" style="98" customWidth="1"/>
    <col min="13044" max="13044" width="12.54296875" style="98" customWidth="1"/>
    <col min="13045" max="13046" width="13.1796875" style="98" customWidth="1"/>
    <col min="13047" max="13048" width="9.1796875" style="98"/>
    <col min="13049" max="13049" width="11" style="98" customWidth="1"/>
    <col min="13050" max="13292" width="9.1796875" style="98"/>
    <col min="13293" max="13293" width="26.81640625" style="98" customWidth="1"/>
    <col min="13294" max="13294" width="0" style="98" hidden="1" customWidth="1"/>
    <col min="13295" max="13295" width="12.453125" style="98" customWidth="1"/>
    <col min="13296" max="13297" width="11.1796875" style="98" customWidth="1"/>
    <col min="13298" max="13298" width="12.1796875" style="98" customWidth="1"/>
    <col min="13299" max="13299" width="14" style="98" customWidth="1"/>
    <col min="13300" max="13300" width="12.54296875" style="98" customWidth="1"/>
    <col min="13301" max="13302" width="13.1796875" style="98" customWidth="1"/>
    <col min="13303" max="13304" width="9.1796875" style="98"/>
    <col min="13305" max="13305" width="11" style="98" customWidth="1"/>
    <col min="13306" max="13548" width="9.1796875" style="98"/>
    <col min="13549" max="13549" width="26.81640625" style="98" customWidth="1"/>
    <col min="13550" max="13550" width="0" style="98" hidden="1" customWidth="1"/>
    <col min="13551" max="13551" width="12.453125" style="98" customWidth="1"/>
    <col min="13552" max="13553" width="11.1796875" style="98" customWidth="1"/>
    <col min="13554" max="13554" width="12.1796875" style="98" customWidth="1"/>
    <col min="13555" max="13555" width="14" style="98" customWidth="1"/>
    <col min="13556" max="13556" width="12.54296875" style="98" customWidth="1"/>
    <col min="13557" max="13558" width="13.1796875" style="98" customWidth="1"/>
    <col min="13559" max="13560" width="9.1796875" style="98"/>
    <col min="13561" max="13561" width="11" style="98" customWidth="1"/>
    <col min="13562" max="13804" width="9.1796875" style="98"/>
    <col min="13805" max="13805" width="26.81640625" style="98" customWidth="1"/>
    <col min="13806" max="13806" width="0" style="98" hidden="1" customWidth="1"/>
    <col min="13807" max="13807" width="12.453125" style="98" customWidth="1"/>
    <col min="13808" max="13809" width="11.1796875" style="98" customWidth="1"/>
    <col min="13810" max="13810" width="12.1796875" style="98" customWidth="1"/>
    <col min="13811" max="13811" width="14" style="98" customWidth="1"/>
    <col min="13812" max="13812" width="12.54296875" style="98" customWidth="1"/>
    <col min="13813" max="13814" width="13.1796875" style="98" customWidth="1"/>
    <col min="13815" max="13816" width="9.1796875" style="98"/>
    <col min="13817" max="13817" width="11" style="98" customWidth="1"/>
    <col min="13818" max="14060" width="9.1796875" style="98"/>
    <col min="14061" max="14061" width="26.81640625" style="98" customWidth="1"/>
    <col min="14062" max="14062" width="0" style="98" hidden="1" customWidth="1"/>
    <col min="14063" max="14063" width="12.453125" style="98" customWidth="1"/>
    <col min="14064" max="14065" width="11.1796875" style="98" customWidth="1"/>
    <col min="14066" max="14066" width="12.1796875" style="98" customWidth="1"/>
    <col min="14067" max="14067" width="14" style="98" customWidth="1"/>
    <col min="14068" max="14068" width="12.54296875" style="98" customWidth="1"/>
    <col min="14069" max="14070" width="13.1796875" style="98" customWidth="1"/>
    <col min="14071" max="14072" width="9.1796875" style="98"/>
    <col min="14073" max="14073" width="11" style="98" customWidth="1"/>
    <col min="14074" max="14316" width="9.1796875" style="98"/>
    <col min="14317" max="14317" width="26.81640625" style="98" customWidth="1"/>
    <col min="14318" max="14318" width="0" style="98" hidden="1" customWidth="1"/>
    <col min="14319" max="14319" width="12.453125" style="98" customWidth="1"/>
    <col min="14320" max="14321" width="11.1796875" style="98" customWidth="1"/>
    <col min="14322" max="14322" width="12.1796875" style="98" customWidth="1"/>
    <col min="14323" max="14323" width="14" style="98" customWidth="1"/>
    <col min="14324" max="14324" width="12.54296875" style="98" customWidth="1"/>
    <col min="14325" max="14326" width="13.1796875" style="98" customWidth="1"/>
    <col min="14327" max="14328" width="9.1796875" style="98"/>
    <col min="14329" max="14329" width="11" style="98" customWidth="1"/>
    <col min="14330" max="14572" width="9.1796875" style="98"/>
    <col min="14573" max="14573" width="26.81640625" style="98" customWidth="1"/>
    <col min="14574" max="14574" width="0" style="98" hidden="1" customWidth="1"/>
    <col min="14575" max="14575" width="12.453125" style="98" customWidth="1"/>
    <col min="14576" max="14577" width="11.1796875" style="98" customWidth="1"/>
    <col min="14578" max="14578" width="12.1796875" style="98" customWidth="1"/>
    <col min="14579" max="14579" width="14" style="98" customWidth="1"/>
    <col min="14580" max="14580" width="12.54296875" style="98" customWidth="1"/>
    <col min="14581" max="14582" width="13.1796875" style="98" customWidth="1"/>
    <col min="14583" max="14584" width="9.1796875" style="98"/>
    <col min="14585" max="14585" width="11" style="98" customWidth="1"/>
    <col min="14586" max="14828" width="9.1796875" style="98"/>
    <col min="14829" max="14829" width="26.81640625" style="98" customWidth="1"/>
    <col min="14830" max="14830" width="0" style="98" hidden="1" customWidth="1"/>
    <col min="14831" max="14831" width="12.453125" style="98" customWidth="1"/>
    <col min="14832" max="14833" width="11.1796875" style="98" customWidth="1"/>
    <col min="14834" max="14834" width="12.1796875" style="98" customWidth="1"/>
    <col min="14835" max="14835" width="14" style="98" customWidth="1"/>
    <col min="14836" max="14836" width="12.54296875" style="98" customWidth="1"/>
    <col min="14837" max="14838" width="13.1796875" style="98" customWidth="1"/>
    <col min="14839" max="14840" width="9.1796875" style="98"/>
    <col min="14841" max="14841" width="11" style="98" customWidth="1"/>
    <col min="14842" max="15084" width="9.1796875" style="98"/>
    <col min="15085" max="15085" width="26.81640625" style="98" customWidth="1"/>
    <col min="15086" max="15086" width="0" style="98" hidden="1" customWidth="1"/>
    <col min="15087" max="15087" width="12.453125" style="98" customWidth="1"/>
    <col min="15088" max="15089" width="11.1796875" style="98" customWidth="1"/>
    <col min="15090" max="15090" width="12.1796875" style="98" customWidth="1"/>
    <col min="15091" max="15091" width="14" style="98" customWidth="1"/>
    <col min="15092" max="15092" width="12.54296875" style="98" customWidth="1"/>
    <col min="15093" max="15094" width="13.1796875" style="98" customWidth="1"/>
    <col min="15095" max="15096" width="9.1796875" style="98"/>
    <col min="15097" max="15097" width="11" style="98" customWidth="1"/>
    <col min="15098" max="15340" width="9.1796875" style="98"/>
    <col min="15341" max="15341" width="26.81640625" style="98" customWidth="1"/>
    <col min="15342" max="15342" width="0" style="98" hidden="1" customWidth="1"/>
    <col min="15343" max="15343" width="12.453125" style="98" customWidth="1"/>
    <col min="15344" max="15345" width="11.1796875" style="98" customWidth="1"/>
    <col min="15346" max="15346" width="12.1796875" style="98" customWidth="1"/>
    <col min="15347" max="15347" width="14" style="98" customWidth="1"/>
    <col min="15348" max="15348" width="12.54296875" style="98" customWidth="1"/>
    <col min="15349" max="15350" width="13.1796875" style="98" customWidth="1"/>
    <col min="15351" max="15352" width="9.1796875" style="98"/>
    <col min="15353" max="15353" width="11" style="98" customWidth="1"/>
    <col min="15354" max="15596" width="9.1796875" style="98"/>
    <col min="15597" max="15597" width="26.81640625" style="98" customWidth="1"/>
    <col min="15598" max="15598" width="0" style="98" hidden="1" customWidth="1"/>
    <col min="15599" max="15599" width="12.453125" style="98" customWidth="1"/>
    <col min="15600" max="15601" width="11.1796875" style="98" customWidth="1"/>
    <col min="15602" max="15602" width="12.1796875" style="98" customWidth="1"/>
    <col min="15603" max="15603" width="14" style="98" customWidth="1"/>
    <col min="15604" max="15604" width="12.54296875" style="98" customWidth="1"/>
    <col min="15605" max="15606" width="13.1796875" style="98" customWidth="1"/>
    <col min="15607" max="15608" width="9.1796875" style="98"/>
    <col min="15609" max="15609" width="11" style="98" customWidth="1"/>
    <col min="15610" max="15852" width="9.1796875" style="98"/>
    <col min="15853" max="15853" width="26.81640625" style="98" customWidth="1"/>
    <col min="15854" max="15854" width="0" style="98" hidden="1" customWidth="1"/>
    <col min="15855" max="15855" width="12.453125" style="98" customWidth="1"/>
    <col min="15856" max="15857" width="11.1796875" style="98" customWidth="1"/>
    <col min="15858" max="15858" width="12.1796875" style="98" customWidth="1"/>
    <col min="15859" max="15859" width="14" style="98" customWidth="1"/>
    <col min="15860" max="15860" width="12.54296875" style="98" customWidth="1"/>
    <col min="15861" max="15862" width="13.1796875" style="98" customWidth="1"/>
    <col min="15863" max="15864" width="9.1796875" style="98"/>
    <col min="15865" max="15865" width="11" style="98" customWidth="1"/>
    <col min="15866" max="16108" width="9.1796875" style="98"/>
    <col min="16109" max="16109" width="26.81640625" style="98" customWidth="1"/>
    <col min="16110" max="16110" width="0" style="98" hidden="1" customWidth="1"/>
    <col min="16111" max="16111" width="12.453125" style="98" customWidth="1"/>
    <col min="16112" max="16113" width="11.1796875" style="98" customWidth="1"/>
    <col min="16114" max="16114" width="12.1796875" style="98" customWidth="1"/>
    <col min="16115" max="16115" width="14" style="98" customWidth="1"/>
    <col min="16116" max="16116" width="12.54296875" style="98" customWidth="1"/>
    <col min="16117" max="16118" width="13.1796875" style="98" customWidth="1"/>
    <col min="16119" max="16120" width="9.1796875" style="98"/>
    <col min="16121" max="16121" width="11" style="98" customWidth="1"/>
    <col min="16122" max="16384" width="9.1796875" style="98"/>
  </cols>
  <sheetData>
    <row r="2" spans="1:7" ht="13" x14ac:dyDescent="0.25">
      <c r="A2" s="174" t="s">
        <v>133</v>
      </c>
      <c r="B2" s="174"/>
      <c r="C2" s="174"/>
      <c r="D2" s="174"/>
      <c r="E2" s="174"/>
      <c r="F2" s="174"/>
      <c r="G2" s="174"/>
    </row>
    <row r="3" spans="1:7" ht="52" x14ac:dyDescent="0.25">
      <c r="A3" s="103" t="s">
        <v>134</v>
      </c>
      <c r="B3" s="104" t="s">
        <v>135</v>
      </c>
      <c r="C3" s="104" t="s">
        <v>136</v>
      </c>
      <c r="D3" s="104" t="s">
        <v>137</v>
      </c>
      <c r="E3" s="104" t="s">
        <v>136</v>
      </c>
      <c r="F3" s="104" t="s">
        <v>138</v>
      </c>
      <c r="G3" s="104" t="s">
        <v>139</v>
      </c>
    </row>
    <row r="4" spans="1:7" ht="13" x14ac:dyDescent="0.25">
      <c r="A4" s="175" t="s">
        <v>140</v>
      </c>
      <c r="B4" s="175"/>
      <c r="C4" s="175"/>
      <c r="D4" s="175"/>
      <c r="E4" s="175"/>
      <c r="F4" s="175"/>
      <c r="G4" s="175"/>
    </row>
    <row r="5" spans="1:7" ht="13" x14ac:dyDescent="0.25">
      <c r="A5" s="105"/>
      <c r="B5" s="106"/>
      <c r="C5" s="106"/>
      <c r="D5" s="106"/>
      <c r="E5" s="106"/>
      <c r="F5" s="106"/>
      <c r="G5" s="106"/>
    </row>
    <row r="6" spans="1:7" ht="13" x14ac:dyDescent="0.25">
      <c r="A6" s="107" t="s">
        <v>187</v>
      </c>
      <c r="B6" s="99"/>
      <c r="C6" s="106"/>
      <c r="D6" s="108">
        <v>72.077403848123495</v>
      </c>
      <c r="E6" s="99"/>
      <c r="F6" s="109">
        <v>3293.2526321985606</v>
      </c>
      <c r="G6" s="106"/>
    </row>
    <row r="7" spans="1:7" ht="13" x14ac:dyDescent="0.25">
      <c r="A7" s="105"/>
      <c r="B7" s="106"/>
      <c r="C7" s="106"/>
      <c r="D7" s="106"/>
      <c r="E7" s="106"/>
      <c r="F7" s="106"/>
      <c r="G7" s="106"/>
    </row>
    <row r="8" spans="1:7" ht="13" x14ac:dyDescent="0.25">
      <c r="A8" s="107">
        <v>2007</v>
      </c>
      <c r="B8" s="110">
        <f>Summary!B9/1000000</f>
        <v>90.679122000000007</v>
      </c>
      <c r="C8" s="111"/>
      <c r="D8" s="110">
        <f t="shared" ref="D8:D17" si="0">B8*F106</f>
        <v>90.784320881568163</v>
      </c>
      <c r="E8" s="111"/>
      <c r="F8" s="109">
        <f>Summary!B35</f>
        <v>3313</v>
      </c>
      <c r="G8" s="106"/>
    </row>
    <row r="9" spans="1:7" x14ac:dyDescent="0.25">
      <c r="A9" s="107">
        <v>2008</v>
      </c>
      <c r="B9" s="110">
        <f>Summary!C9/1000000</f>
        <v>76.752093000000002</v>
      </c>
      <c r="C9" s="111">
        <f t="shared" ref="C9:C17" si="1">B9-B8</f>
        <v>-13.927029000000005</v>
      </c>
      <c r="D9" s="110">
        <f t="shared" si="0"/>
        <v>74.568312430514425</v>
      </c>
      <c r="E9" s="111">
        <f t="shared" ref="E9:E19" si="2">D9-D8</f>
        <v>-16.216008451053739</v>
      </c>
      <c r="F9" s="109">
        <f>Summary!C35</f>
        <v>3323</v>
      </c>
      <c r="G9" s="112">
        <f>F9-F8</f>
        <v>10</v>
      </c>
    </row>
    <row r="10" spans="1:7" x14ac:dyDescent="0.25">
      <c r="A10" s="107">
        <v>2009</v>
      </c>
      <c r="B10" s="110">
        <f>Summary!D9/1000000</f>
        <v>72.428352000000004</v>
      </c>
      <c r="C10" s="111">
        <f t="shared" si="1"/>
        <v>-4.3237409999999983</v>
      </c>
      <c r="D10" s="110">
        <f t="shared" si="0"/>
        <v>71.984035186123933</v>
      </c>
      <c r="E10" s="111">
        <f t="shared" si="2"/>
        <v>-2.584277244390492</v>
      </c>
      <c r="F10" s="109">
        <f>Summary!D35</f>
        <v>3316</v>
      </c>
      <c r="G10" s="112">
        <f t="shared" ref="G10:G19" si="3">F10-F9</f>
        <v>-7</v>
      </c>
    </row>
    <row r="11" spans="1:7" x14ac:dyDescent="0.25">
      <c r="A11" s="107">
        <v>2010</v>
      </c>
      <c r="B11" s="110">
        <f>Summary!E9/1000000</f>
        <v>71.07885546</v>
      </c>
      <c r="C11" s="111">
        <f t="shared" si="1"/>
        <v>-1.3494965400000041</v>
      </c>
      <c r="D11" s="110">
        <f t="shared" si="0"/>
        <v>74.435124630357919</v>
      </c>
      <c r="E11" s="111">
        <f t="shared" si="2"/>
        <v>2.4510894442339861</v>
      </c>
      <c r="F11" s="109">
        <f>Summary!E35</f>
        <v>3316</v>
      </c>
      <c r="G11" s="112">
        <f t="shared" si="3"/>
        <v>0</v>
      </c>
    </row>
    <row r="12" spans="1:7" x14ac:dyDescent="0.25">
      <c r="A12" s="107">
        <v>2011</v>
      </c>
      <c r="B12" s="110">
        <f>Summary!F9/1000000</f>
        <v>73.098433</v>
      </c>
      <c r="C12" s="111">
        <f t="shared" si="1"/>
        <v>2.0195775400000002</v>
      </c>
      <c r="D12" s="110">
        <f t="shared" si="0"/>
        <v>74.493080570219192</v>
      </c>
      <c r="E12" s="111">
        <f t="shared" si="2"/>
        <v>5.7955939861273009E-2</v>
      </c>
      <c r="F12" s="109">
        <f>Summary!F35</f>
        <v>3316</v>
      </c>
      <c r="G12" s="112">
        <f t="shared" si="3"/>
        <v>0</v>
      </c>
    </row>
    <row r="13" spans="1:7" x14ac:dyDescent="0.25">
      <c r="A13" s="107">
        <v>2012</v>
      </c>
      <c r="B13" s="110">
        <f>Summary!G9/1000000</f>
        <v>71.922866150000004</v>
      </c>
      <c r="C13" s="111">
        <f t="shared" si="1"/>
        <v>-1.1755668499999956</v>
      </c>
      <c r="D13" s="110">
        <f t="shared" si="0"/>
        <v>77.088132593445621</v>
      </c>
      <c r="E13" s="111">
        <f t="shared" si="2"/>
        <v>2.5950520232264296</v>
      </c>
      <c r="F13" s="109">
        <f>Summary!G35</f>
        <v>3324.75</v>
      </c>
      <c r="G13" s="112">
        <f t="shared" si="3"/>
        <v>8.75</v>
      </c>
    </row>
    <row r="14" spans="1:7" x14ac:dyDescent="0.25">
      <c r="A14" s="107">
        <v>2013</v>
      </c>
      <c r="B14" s="110">
        <f>Summary!H9/1000000</f>
        <v>83.168941380000007</v>
      </c>
      <c r="C14" s="111">
        <f t="shared" si="1"/>
        <v>11.246075230000002</v>
      </c>
      <c r="D14" s="110">
        <f t="shared" si="0"/>
        <v>78.647394542937093</v>
      </c>
      <c r="E14" s="111">
        <f t="shared" si="2"/>
        <v>1.5592619494914715</v>
      </c>
      <c r="F14" s="109">
        <f>Summary!H35</f>
        <v>3332.416666666667</v>
      </c>
      <c r="G14" s="112">
        <f t="shared" si="3"/>
        <v>7.6666666666669698</v>
      </c>
    </row>
    <row r="15" spans="1:7" x14ac:dyDescent="0.25">
      <c r="A15" s="107">
        <v>2014</v>
      </c>
      <c r="B15" s="110">
        <f>Summary!I9/1000000</f>
        <v>85.548132539999997</v>
      </c>
      <c r="C15" s="111">
        <f t="shared" si="1"/>
        <v>2.3791911599999906</v>
      </c>
      <c r="D15" s="110">
        <f t="shared" si="0"/>
        <v>81.455310552617732</v>
      </c>
      <c r="E15" s="111">
        <f t="shared" si="2"/>
        <v>2.807916009680639</v>
      </c>
      <c r="F15" s="109">
        <f>Summary!I35</f>
        <v>3346.9166666666665</v>
      </c>
      <c r="G15" s="112">
        <f t="shared" si="3"/>
        <v>14.499999999999545</v>
      </c>
    </row>
    <row r="16" spans="1:7" x14ac:dyDescent="0.25">
      <c r="A16" s="107">
        <v>2015</v>
      </c>
      <c r="B16" s="110">
        <f>Summary!J9/1000000</f>
        <v>79.338527249999999</v>
      </c>
      <c r="C16" s="111">
        <f t="shared" si="1"/>
        <v>-6.2096052899999989</v>
      </c>
      <c r="D16" s="110">
        <f t="shared" si="0"/>
        <v>79.489008704468688</v>
      </c>
      <c r="E16" s="111">
        <f t="shared" si="2"/>
        <v>-1.966301848149044</v>
      </c>
      <c r="F16" s="109">
        <f>Summary!J35</f>
        <v>3344.42</v>
      </c>
      <c r="G16" s="112">
        <f t="shared" si="3"/>
        <v>-2.4966666666664423</v>
      </c>
    </row>
    <row r="17" spans="1:7" x14ac:dyDescent="0.25">
      <c r="A17" s="107">
        <v>2016</v>
      </c>
      <c r="B17" s="110">
        <f>Summary!K9/1000000</f>
        <v>70.815697800000009</v>
      </c>
      <c r="C17" s="111">
        <f t="shared" si="1"/>
        <v>-8.522829449999989</v>
      </c>
      <c r="D17" s="110">
        <f t="shared" si="0"/>
        <v>72.34228524143947</v>
      </c>
      <c r="E17" s="111">
        <f t="shared" si="2"/>
        <v>-7.1467234630292182</v>
      </c>
      <c r="F17" s="109">
        <f>Summary!K35</f>
        <v>3357.916666666667</v>
      </c>
      <c r="G17" s="112">
        <f t="shared" si="3"/>
        <v>13.496666666666897</v>
      </c>
    </row>
    <row r="18" spans="1:7" ht="12.75" customHeight="1" x14ac:dyDescent="0.25">
      <c r="A18" s="101" t="s">
        <v>183</v>
      </c>
      <c r="B18" s="110"/>
      <c r="C18" s="111"/>
      <c r="D18" s="110">
        <f>Summary!L9/1000000</f>
        <v>72.764600824606561</v>
      </c>
      <c r="E18" s="111">
        <f t="shared" si="2"/>
        <v>0.42231558316709084</v>
      </c>
      <c r="F18" s="109">
        <f>Summary!L35</f>
        <v>3365.076521658908</v>
      </c>
      <c r="G18" s="112">
        <f t="shared" si="3"/>
        <v>7.1598549922409802</v>
      </c>
    </row>
    <row r="19" spans="1:7" x14ac:dyDescent="0.25">
      <c r="A19" s="107" t="s">
        <v>184</v>
      </c>
      <c r="B19" s="110"/>
      <c r="C19" s="111"/>
      <c r="D19" s="110">
        <f>Summary!M9/1000000</f>
        <v>72.06410082460657</v>
      </c>
      <c r="E19" s="111">
        <f t="shared" si="2"/>
        <v>-0.70049999999999102</v>
      </c>
      <c r="F19" s="109">
        <f>Summary!M35</f>
        <v>3372.2737422155783</v>
      </c>
      <c r="G19" s="112">
        <f t="shared" si="3"/>
        <v>7.1972205566703451</v>
      </c>
    </row>
    <row r="21" spans="1:7" ht="13" x14ac:dyDescent="0.3">
      <c r="A21" s="114" t="s">
        <v>141</v>
      </c>
      <c r="B21" s="114"/>
      <c r="C21" s="114"/>
      <c r="D21" s="114"/>
    </row>
    <row r="22" spans="1:7" ht="39" x14ac:dyDescent="0.25">
      <c r="A22" s="115" t="s">
        <v>134</v>
      </c>
      <c r="B22" s="116" t="str">
        <f>Summary!A12</f>
        <v>Residential</v>
      </c>
      <c r="C22" s="116" t="str">
        <f>Summary!A16</f>
        <v>GS&lt;50</v>
      </c>
      <c r="D22" s="116" t="str">
        <f>Summary!A20</f>
        <v>GS&gt;50</v>
      </c>
      <c r="E22" s="116" t="s">
        <v>142</v>
      </c>
      <c r="F22" s="116" t="s">
        <v>188</v>
      </c>
      <c r="G22" s="116" t="s">
        <v>10</v>
      </c>
    </row>
    <row r="23" spans="1:7" ht="14.25" customHeight="1" x14ac:dyDescent="0.3">
      <c r="A23" s="119" t="s">
        <v>143</v>
      </c>
      <c r="B23" s="120"/>
      <c r="C23" s="120"/>
      <c r="D23" s="120"/>
      <c r="E23" s="120"/>
      <c r="F23" s="120"/>
      <c r="G23" s="121"/>
    </row>
    <row r="24" spans="1:7" x14ac:dyDescent="0.25">
      <c r="A24" s="117">
        <f t="shared" ref="A24:A33" si="4">A8</f>
        <v>2007</v>
      </c>
      <c r="B24" s="110">
        <f>Summary!B14/1000000</f>
        <v>32.814076</v>
      </c>
      <c r="C24" s="110">
        <f>Summary!B18/1000000</f>
        <v>15.307581000000001</v>
      </c>
      <c r="D24" s="110">
        <f>Summary!B22/1000000</f>
        <v>42.025393999999999</v>
      </c>
      <c r="E24" s="110">
        <f>Summary!B27/1000000</f>
        <v>0.48958499999999999</v>
      </c>
      <c r="F24" s="118">
        <f>Summary!B32/1000000</f>
        <v>4.2486000000000003E-2</v>
      </c>
      <c r="G24" s="110">
        <f>SUM(B24:F24)</f>
        <v>90.679122000000007</v>
      </c>
    </row>
    <row r="25" spans="1:7" ht="12.75" customHeight="1" x14ac:dyDescent="0.25">
      <c r="A25" s="117">
        <f t="shared" si="4"/>
        <v>2008</v>
      </c>
      <c r="B25" s="110">
        <f>Summary!C14/1000000</f>
        <v>33.587663999999997</v>
      </c>
      <c r="C25" s="110">
        <f>Summary!C18/1000000</f>
        <v>15.183847999999999</v>
      </c>
      <c r="D25" s="110">
        <f>Summary!C22/1000000</f>
        <v>27.443928</v>
      </c>
      <c r="E25" s="110">
        <f>Summary!C27/1000000</f>
        <v>0.49416700000000002</v>
      </c>
      <c r="F25" s="118">
        <f>Summary!C32/1000000</f>
        <v>4.2486000000000003E-2</v>
      </c>
      <c r="G25" s="110">
        <f t="shared" ref="G25:G33" si="5">SUM(B25:F25)</f>
        <v>76.752093000000002</v>
      </c>
    </row>
    <row r="26" spans="1:7" x14ac:dyDescent="0.25">
      <c r="A26" s="117">
        <f t="shared" si="4"/>
        <v>2009</v>
      </c>
      <c r="B26" s="110">
        <f>Summary!D14/1000000</f>
        <v>33.747939000000002</v>
      </c>
      <c r="C26" s="110">
        <f>Summary!D18/1000000</f>
        <v>16.172931999999999</v>
      </c>
      <c r="D26" s="110">
        <f>Summary!D22/1000000</f>
        <v>21.993283999999999</v>
      </c>
      <c r="E26" s="110">
        <f>Summary!D27/1000000</f>
        <v>0.47171099999999999</v>
      </c>
      <c r="F26" s="118">
        <f>Summary!D32/1000000</f>
        <v>4.2486000000000003E-2</v>
      </c>
      <c r="G26" s="110">
        <f t="shared" si="5"/>
        <v>72.428352000000004</v>
      </c>
    </row>
    <row r="27" spans="1:7" x14ac:dyDescent="0.25">
      <c r="A27" s="117">
        <f t="shared" si="4"/>
        <v>2010</v>
      </c>
      <c r="B27" s="110">
        <f>Summary!E14/1000000</f>
        <v>31.178902000000001</v>
      </c>
      <c r="C27" s="110">
        <f>Summary!E18/1000000</f>
        <v>14.190567</v>
      </c>
      <c r="D27" s="110">
        <f>Summary!E22/1000000</f>
        <v>25.204982999999999</v>
      </c>
      <c r="E27" s="110">
        <f>Summary!E27/1000000</f>
        <v>0.468441</v>
      </c>
      <c r="F27" s="118">
        <f>Summary!E32/1000000</f>
        <v>3.5962460000000002E-2</v>
      </c>
      <c r="G27" s="110">
        <f t="shared" si="5"/>
        <v>71.07885546</v>
      </c>
    </row>
    <row r="28" spans="1:7" x14ac:dyDescent="0.25">
      <c r="A28" s="117">
        <f t="shared" si="4"/>
        <v>2011</v>
      </c>
      <c r="B28" s="110">
        <f>Summary!F14/1000000</f>
        <v>32.694600000000001</v>
      </c>
      <c r="C28" s="110">
        <f>Summary!F18/1000000</f>
        <v>12.624003</v>
      </c>
      <c r="D28" s="110">
        <f>Summary!F22/1000000</f>
        <v>27.265781</v>
      </c>
      <c r="E28" s="110">
        <f>Summary!F27/1000000</f>
        <v>0.49845200000000001</v>
      </c>
      <c r="F28" s="118">
        <f>Summary!F32/1000000</f>
        <v>1.5597E-2</v>
      </c>
      <c r="G28" s="110">
        <f t="shared" si="5"/>
        <v>73.098433</v>
      </c>
    </row>
    <row r="29" spans="1:7" x14ac:dyDescent="0.25">
      <c r="A29" s="117">
        <f t="shared" si="4"/>
        <v>2012</v>
      </c>
      <c r="B29" s="110">
        <f>Summary!G14/1000000</f>
        <v>32.285777940000003</v>
      </c>
      <c r="C29" s="110">
        <f>Summary!G18/1000000</f>
        <v>11.88343499</v>
      </c>
      <c r="D29" s="110">
        <f>Summary!G22/1000000</f>
        <v>27.280733000000001</v>
      </c>
      <c r="E29" s="110">
        <f>Summary!G27/1000000</f>
        <v>0.46821562</v>
      </c>
      <c r="F29" s="118">
        <f>Summary!G32/1000000</f>
        <v>4.7046000000000006E-3</v>
      </c>
      <c r="G29" s="110">
        <f t="shared" si="5"/>
        <v>71.92286614999999</v>
      </c>
    </row>
    <row r="30" spans="1:7" x14ac:dyDescent="0.25">
      <c r="A30" s="117">
        <f t="shared" si="4"/>
        <v>2013</v>
      </c>
      <c r="B30" s="110">
        <f>Summary!H14/1000000</f>
        <v>36.371058950000005</v>
      </c>
      <c r="C30" s="110">
        <f>Summary!H18/1000000</f>
        <v>12.926387779999999</v>
      </c>
      <c r="D30" s="110">
        <f>Summary!H22/1000000</f>
        <v>33.3520617</v>
      </c>
      <c r="E30" s="110">
        <f>Summary!H27/1000000</f>
        <v>0.51727895000000002</v>
      </c>
      <c r="F30" s="118">
        <f>Summary!H32/1000000</f>
        <v>2.1540000000000001E-3</v>
      </c>
      <c r="G30" s="110">
        <f t="shared" si="5"/>
        <v>83.168941380000007</v>
      </c>
    </row>
    <row r="31" spans="1:7" x14ac:dyDescent="0.25">
      <c r="A31" s="117">
        <f t="shared" si="4"/>
        <v>2014</v>
      </c>
      <c r="B31" s="110">
        <f>Summary!I14/1000000</f>
        <v>37.207390200000006</v>
      </c>
      <c r="C31" s="110">
        <f>Summary!I18/1000000</f>
        <v>13.50046583</v>
      </c>
      <c r="D31" s="110">
        <f>Summary!I22/1000000</f>
        <v>34.31892079</v>
      </c>
      <c r="E31" s="110">
        <f>Summary!I27/1000000</f>
        <v>0.51912071999999998</v>
      </c>
      <c r="F31" s="118">
        <f>Summary!I32/1000000</f>
        <v>2.235E-3</v>
      </c>
      <c r="G31" s="110">
        <f t="shared" si="5"/>
        <v>85.548132540000012</v>
      </c>
    </row>
    <row r="32" spans="1:7" x14ac:dyDescent="0.25">
      <c r="A32" s="117">
        <f t="shared" si="4"/>
        <v>2015</v>
      </c>
      <c r="B32" s="110">
        <f>Summary!J14/1000000</f>
        <v>33.751334479999997</v>
      </c>
      <c r="C32" s="110">
        <f>Summary!J18/1000000</f>
        <v>12.57905551</v>
      </c>
      <c r="D32" s="110">
        <f>Summary!J22/1000000</f>
        <v>32.657664609999998</v>
      </c>
      <c r="E32" s="110">
        <f>Summary!J27/1000000</f>
        <v>0.34898465000000001</v>
      </c>
      <c r="F32" s="118">
        <f>Summary!J32/1000000</f>
        <v>1.488E-3</v>
      </c>
      <c r="G32" s="110">
        <f t="shared" si="5"/>
        <v>79.338527249999999</v>
      </c>
    </row>
    <row r="33" spans="1:7" x14ac:dyDescent="0.25">
      <c r="A33" s="117">
        <f t="shared" si="4"/>
        <v>2016</v>
      </c>
      <c r="B33" s="110">
        <f>Summary!K14/1000000</f>
        <v>32.668224870000003</v>
      </c>
      <c r="C33" s="110">
        <f>Summary!K18/1000000</f>
        <v>11.84527147</v>
      </c>
      <c r="D33" s="110">
        <f>Summary!K22/1000000</f>
        <v>26.151604510000002</v>
      </c>
      <c r="E33" s="110">
        <f>Summary!K27/1000000</f>
        <v>0.15059695000000001</v>
      </c>
      <c r="F33" s="118">
        <f>Summary!K32/1000000</f>
        <v>0</v>
      </c>
      <c r="G33" s="110">
        <f t="shared" si="5"/>
        <v>70.815697799999995</v>
      </c>
    </row>
    <row r="34" spans="1:7" ht="13" x14ac:dyDescent="0.3">
      <c r="A34" s="119" t="s">
        <v>144</v>
      </c>
      <c r="B34" s="120"/>
      <c r="C34" s="120"/>
      <c r="D34" s="120"/>
      <c r="E34" s="120"/>
      <c r="F34" s="120"/>
      <c r="G34" s="121"/>
    </row>
    <row r="35" spans="1:7" x14ac:dyDescent="0.25">
      <c r="A35" s="117">
        <f t="shared" ref="A35:A41" si="6">A24</f>
        <v>2007</v>
      </c>
      <c r="B35" s="108">
        <f>B24*$F$106</f>
        <v>32.85214434493713</v>
      </c>
      <c r="C35" s="108">
        <f>C24*$F$106</f>
        <v>15.325339667763831</v>
      </c>
      <c r="D35" s="108">
        <f>D24*$F$106</f>
        <v>42.07414860137628</v>
      </c>
      <c r="E35" s="108">
        <f>E24*$F$106</f>
        <v>0.49015297853019069</v>
      </c>
      <c r="F35" s="122">
        <f>F24*$F$106</f>
        <v>4.2535288960719148E-2</v>
      </c>
      <c r="G35" s="110">
        <f>SUM(B35:F35)</f>
        <v>90.784320881568149</v>
      </c>
    </row>
    <row r="36" spans="1:7" x14ac:dyDescent="0.25">
      <c r="A36" s="117">
        <f t="shared" si="6"/>
        <v>2008</v>
      </c>
      <c r="B36" s="108">
        <f>B25*$F$107</f>
        <v>32.632014646990037</v>
      </c>
      <c r="C36" s="108">
        <f>C25*$F$107</f>
        <v>14.751831217963549</v>
      </c>
      <c r="D36" s="108">
        <f>D25*$F$107</f>
        <v>26.66308262661375</v>
      </c>
      <c r="E36" s="108">
        <f>E25*$F$107</f>
        <v>0.48010676723630225</v>
      </c>
      <c r="F36" s="122">
        <f>F25*$F$107</f>
        <v>4.1277171710781047E-2</v>
      </c>
      <c r="G36" s="110">
        <f t="shared" ref="G36:G47" si="7">SUM(B36:F36)</f>
        <v>74.568312430514425</v>
      </c>
    </row>
    <row r="37" spans="1:7" x14ac:dyDescent="0.25">
      <c r="A37" s="117">
        <f t="shared" si="6"/>
        <v>2009</v>
      </c>
      <c r="B37" s="108">
        <f>B26*$F$108</f>
        <v>33.54090989720661</v>
      </c>
      <c r="C37" s="108">
        <f>C26*$F$108</f>
        <v>16.073718012399201</v>
      </c>
      <c r="D37" s="108">
        <f>D26*$F$108</f>
        <v>21.858364654140086</v>
      </c>
      <c r="E37" s="108">
        <f>E26*$F$108</f>
        <v>0.46881725572993438</v>
      </c>
      <c r="F37" s="122">
        <f>F26*$F$108</f>
        <v>4.2225366648100206E-2</v>
      </c>
      <c r="G37" s="110">
        <f t="shared" si="7"/>
        <v>71.984035186123933</v>
      </c>
    </row>
    <row r="38" spans="1:7" x14ac:dyDescent="0.25">
      <c r="A38" s="117">
        <f t="shared" si="6"/>
        <v>2010</v>
      </c>
      <c r="B38" s="108">
        <f>B27*$F$109</f>
        <v>32.651137123525594</v>
      </c>
      <c r="C38" s="108">
        <f>C27*$F$109</f>
        <v>14.860630723223581</v>
      </c>
      <c r="D38" s="108">
        <f>D27*$F$109</f>
        <v>26.395135920088894</v>
      </c>
      <c r="E38" s="108">
        <f>E27*$F$109</f>
        <v>0.49056029379358684</v>
      </c>
      <c r="F38" s="122">
        <f>F27*$F$109</f>
        <v>3.7660569726262465E-2</v>
      </c>
      <c r="G38" s="110">
        <f t="shared" si="7"/>
        <v>74.435124630357919</v>
      </c>
    </row>
    <row r="39" spans="1:7" x14ac:dyDescent="0.25">
      <c r="A39" s="117">
        <f t="shared" si="6"/>
        <v>2011</v>
      </c>
      <c r="B39" s="108">
        <f>B28*$F$110</f>
        <v>33.31838142154276</v>
      </c>
      <c r="C39" s="108">
        <f>C28*$F$110</f>
        <v>12.864856796556619</v>
      </c>
      <c r="D39" s="108">
        <f>D28*$F$110</f>
        <v>27.785985793196847</v>
      </c>
      <c r="E39" s="108">
        <f>E28*$F$110</f>
        <v>0.50796198321223784</v>
      </c>
      <c r="F39" s="122">
        <f>F28*$F$110</f>
        <v>1.5894575710722947E-2</v>
      </c>
      <c r="G39" s="110">
        <f t="shared" si="7"/>
        <v>74.493080570219178</v>
      </c>
    </row>
    <row r="40" spans="1:7" x14ac:dyDescent="0.25">
      <c r="A40" s="117">
        <f t="shared" si="6"/>
        <v>2012</v>
      </c>
      <c r="B40" s="108">
        <f>B29*$F$111</f>
        <v>34.604437558572769</v>
      </c>
      <c r="C40" s="108">
        <f>C29*$F$111</f>
        <v>12.736864660874073</v>
      </c>
      <c r="D40" s="108">
        <f>D29*$F$111</f>
        <v>29.239946561145043</v>
      </c>
      <c r="E40" s="108">
        <f>E29*$F$111</f>
        <v>0.50184134377523482</v>
      </c>
      <c r="F40" s="122">
        <f>F29*$F$111</f>
        <v>5.0424690785091063E-3</v>
      </c>
      <c r="G40" s="110">
        <f t="shared" si="7"/>
        <v>77.088132593445636</v>
      </c>
    </row>
    <row r="41" spans="1:7" x14ac:dyDescent="0.25">
      <c r="A41" s="117">
        <f t="shared" si="6"/>
        <v>2013</v>
      </c>
      <c r="B41" s="108">
        <f>B30*$F$112</f>
        <v>34.393716881828048</v>
      </c>
      <c r="C41" s="108">
        <f>C30*$F$112</f>
        <v>12.223634242303019</v>
      </c>
      <c r="D41" s="108">
        <f>D30*$F$112</f>
        <v>31.538849861699187</v>
      </c>
      <c r="E41" s="108">
        <f>E30*$F$112</f>
        <v>0.48915666106084837</v>
      </c>
      <c r="F41" s="122">
        <f>F30*$F$112</f>
        <v>2.0368960459826702E-3</v>
      </c>
      <c r="G41" s="110">
        <f t="shared" si="7"/>
        <v>78.647394542937079</v>
      </c>
    </row>
    <row r="42" spans="1:7" x14ac:dyDescent="0.25">
      <c r="A42" s="107" t="str">
        <f>A6</f>
        <v>2013 Board Approved</v>
      </c>
      <c r="B42" s="108">
        <v>35.41334877556821</v>
      </c>
      <c r="C42" s="108">
        <v>13.104862953001357</v>
      </c>
      <c r="D42" s="108">
        <v>23.046181761670717</v>
      </c>
      <c r="E42" s="108">
        <v>0.50146549296191745</v>
      </c>
      <c r="F42" s="122">
        <v>1.1544864921307926E-2</v>
      </c>
      <c r="G42" s="110">
        <f t="shared" si="7"/>
        <v>72.07740384812351</v>
      </c>
    </row>
    <row r="43" spans="1:7" x14ac:dyDescent="0.25">
      <c r="A43" s="117">
        <f>A31</f>
        <v>2014</v>
      </c>
      <c r="B43" s="108">
        <f>B31*$F$113</f>
        <v>35.427301959821676</v>
      </c>
      <c r="C43" s="108">
        <f>C31*$F$113</f>
        <v>12.85457208868319</v>
      </c>
      <c r="D43" s="108">
        <f>D31*$F$113</f>
        <v>32.677023656513583</v>
      </c>
      <c r="E43" s="108">
        <f>E31*$F$113</f>
        <v>0.49428477520683606</v>
      </c>
      <c r="F43" s="122">
        <f>F31*$F$113</f>
        <v>2.1280723924625442E-3</v>
      </c>
      <c r="G43" s="110">
        <f t="shared" si="7"/>
        <v>81.455310552617746</v>
      </c>
    </row>
    <row r="44" spans="1:7" x14ac:dyDescent="0.25">
      <c r="A44" s="117">
        <f>A32</f>
        <v>2015</v>
      </c>
      <c r="B44" s="108">
        <f>B32*$F$114</f>
        <v>33.815350665816069</v>
      </c>
      <c r="C44" s="108">
        <f>C32*$F$114</f>
        <v>12.602914215657876</v>
      </c>
      <c r="D44" s="108">
        <f>D32*$F$114</f>
        <v>32.719606431210998</v>
      </c>
      <c r="E44" s="108">
        <f>E32*$F$114</f>
        <v>0.34964656949283057</v>
      </c>
      <c r="F44" s="122">
        <f>F32*$F$114</f>
        <v>1.4908222909097346E-3</v>
      </c>
      <c r="G44" s="110">
        <f t="shared" si="7"/>
        <v>79.489008704468688</v>
      </c>
    </row>
    <row r="45" spans="1:7" x14ac:dyDescent="0.25">
      <c r="A45" s="117">
        <f>A33</f>
        <v>2016</v>
      </c>
      <c r="B45" s="108">
        <f>B33*$F$115</f>
        <v>33.372459995402693</v>
      </c>
      <c r="C45" s="108">
        <f>C33*$F$115</f>
        <v>12.100622235837445</v>
      </c>
      <c r="D45" s="108">
        <f>D33*$F$115</f>
        <v>26.715359613158181</v>
      </c>
      <c r="E45" s="108">
        <f>E33*$F$115</f>
        <v>0.15384339704114017</v>
      </c>
      <c r="F45" s="122">
        <f>F33*$F$115</f>
        <v>0</v>
      </c>
      <c r="G45" s="110">
        <f t="shared" si="7"/>
        <v>72.34228524143947</v>
      </c>
    </row>
    <row r="46" spans="1:7" ht="15" customHeight="1" x14ac:dyDescent="0.25">
      <c r="A46" s="123" t="str">
        <f>A18</f>
        <v>2017 Bridge</v>
      </c>
      <c r="B46" s="110">
        <f>Summary!L14/1000000</f>
        <v>33.524773252216704</v>
      </c>
      <c r="C46" s="108">
        <f>Summary!L18/1000000</f>
        <v>12.14365908212236</v>
      </c>
      <c r="D46" s="108">
        <f>Summary!L22/1000000</f>
        <v>26.945571540267501</v>
      </c>
      <c r="E46" s="108">
        <f>Summary!L27/1000000</f>
        <v>0.15059695000000001</v>
      </c>
      <c r="F46" s="122">
        <f>Summary!M31/1000000</f>
        <v>0</v>
      </c>
      <c r="G46" s="110">
        <f t="shared" si="7"/>
        <v>72.764600824606561</v>
      </c>
    </row>
    <row r="47" spans="1:7" x14ac:dyDescent="0.25">
      <c r="A47" s="123" t="str">
        <f>A19</f>
        <v>2018 Test</v>
      </c>
      <c r="B47" s="110">
        <f>Summary!M14/1000000</f>
        <v>32.918745903764922</v>
      </c>
      <c r="C47" s="108">
        <f>Summary!M18/1000000</f>
        <v>11.931507783663193</v>
      </c>
      <c r="D47" s="108">
        <f>Summary!M22/1000000</f>
        <v>27.063250187178443</v>
      </c>
      <c r="E47" s="108">
        <f>Summary!M27/1000000</f>
        <v>0.15059695000000001</v>
      </c>
      <c r="F47" s="122">
        <f>Summary!M32/1000000</f>
        <v>0</v>
      </c>
      <c r="G47" s="110">
        <f t="shared" si="7"/>
        <v>72.064100824606555</v>
      </c>
    </row>
    <row r="48" spans="1:7" x14ac:dyDescent="0.25">
      <c r="A48" s="124"/>
      <c r="B48" s="125"/>
      <c r="C48" s="125"/>
      <c r="D48" s="125"/>
      <c r="E48" s="126"/>
      <c r="F48" s="125"/>
      <c r="G48" s="125"/>
    </row>
    <row r="49" spans="1:7" ht="13" x14ac:dyDescent="0.25">
      <c r="A49" s="174" t="s">
        <v>145</v>
      </c>
      <c r="B49" s="174"/>
      <c r="C49" s="174"/>
      <c r="D49" s="174"/>
      <c r="E49" s="174"/>
      <c r="F49" s="174"/>
      <c r="G49" s="174"/>
    </row>
    <row r="50" spans="1:7" ht="13" x14ac:dyDescent="0.25">
      <c r="A50" s="175" t="s">
        <v>146</v>
      </c>
      <c r="B50" s="175"/>
      <c r="C50" s="175"/>
      <c r="D50" s="175"/>
      <c r="E50" s="175"/>
      <c r="F50" s="175"/>
      <c r="G50" s="175"/>
    </row>
    <row r="51" spans="1:7" ht="39" x14ac:dyDescent="0.25">
      <c r="A51" s="115" t="str">
        <f t="shared" ref="A51:F51" si="8">A22</f>
        <v>Year</v>
      </c>
      <c r="B51" s="116" t="str">
        <f t="shared" si="8"/>
        <v>Residential</v>
      </c>
      <c r="C51" s="116" t="str">
        <f t="shared" si="8"/>
        <v>GS&lt;50</v>
      </c>
      <c r="D51" s="116" t="str">
        <f t="shared" si="8"/>
        <v>GS&gt;50</v>
      </c>
      <c r="E51" s="116" t="str">
        <f t="shared" si="8"/>
        <v>Street 
Lights</v>
      </c>
      <c r="F51" s="116" t="str">
        <f t="shared" si="8"/>
        <v>Unmetered Scattered Load</v>
      </c>
      <c r="G51" s="116" t="str">
        <f>G22</f>
        <v>Total</v>
      </c>
    </row>
    <row r="52" spans="1:7" x14ac:dyDescent="0.25">
      <c r="A52" s="117">
        <f t="shared" ref="A52:A58" si="9">A24</f>
        <v>2007</v>
      </c>
      <c r="B52" s="127">
        <f>Summary!B13</f>
        <v>2320</v>
      </c>
      <c r="C52" s="127">
        <f>Summary!B17</f>
        <v>405</v>
      </c>
      <c r="D52" s="127">
        <f>Summary!B21</f>
        <v>42</v>
      </c>
      <c r="E52" s="127">
        <f>Summary!B26</f>
        <v>533</v>
      </c>
      <c r="F52" s="127">
        <f>Summary!B31</f>
        <v>13</v>
      </c>
      <c r="G52" s="128">
        <f t="shared" ref="G52:G64" si="10">SUM(B52:F52)</f>
        <v>3313</v>
      </c>
    </row>
    <row r="53" spans="1:7" x14ac:dyDescent="0.25">
      <c r="A53" s="117">
        <f t="shared" si="9"/>
        <v>2008</v>
      </c>
      <c r="B53" s="127">
        <f>Summary!C13</f>
        <v>2333</v>
      </c>
      <c r="C53" s="127">
        <f>Summary!C17</f>
        <v>404</v>
      </c>
      <c r="D53" s="127">
        <f>Summary!C21</f>
        <v>41</v>
      </c>
      <c r="E53" s="127">
        <f>Summary!C26</f>
        <v>532</v>
      </c>
      <c r="F53" s="127">
        <f>Summary!C31</f>
        <v>13</v>
      </c>
      <c r="G53" s="128">
        <f t="shared" si="10"/>
        <v>3323</v>
      </c>
    </row>
    <row r="54" spans="1:7" ht="12.75" customHeight="1" x14ac:dyDescent="0.25">
      <c r="A54" s="117">
        <f t="shared" si="9"/>
        <v>2009</v>
      </c>
      <c r="B54" s="127">
        <f>Summary!D13</f>
        <v>2325</v>
      </c>
      <c r="C54" s="127">
        <f>Summary!D17</f>
        <v>404</v>
      </c>
      <c r="D54" s="127">
        <f>Summary!D21</f>
        <v>40</v>
      </c>
      <c r="E54" s="127">
        <f>Summary!D26</f>
        <v>534</v>
      </c>
      <c r="F54" s="127">
        <f>Summary!D31</f>
        <v>13</v>
      </c>
      <c r="G54" s="128">
        <f t="shared" si="10"/>
        <v>3316</v>
      </c>
    </row>
    <row r="55" spans="1:7" x14ac:dyDescent="0.25">
      <c r="A55" s="117">
        <f t="shared" si="9"/>
        <v>2010</v>
      </c>
      <c r="B55" s="127">
        <f>Summary!E13</f>
        <v>2327</v>
      </c>
      <c r="C55" s="127">
        <f>Summary!E17</f>
        <v>403</v>
      </c>
      <c r="D55" s="127">
        <f>Summary!E21</f>
        <v>45</v>
      </c>
      <c r="E55" s="127">
        <f>Summary!E26</f>
        <v>532</v>
      </c>
      <c r="F55" s="127">
        <f>Summary!E31</f>
        <v>9</v>
      </c>
      <c r="G55" s="128">
        <f t="shared" si="10"/>
        <v>3316</v>
      </c>
    </row>
    <row r="56" spans="1:7" x14ac:dyDescent="0.25">
      <c r="A56" s="117">
        <f t="shared" si="9"/>
        <v>2011</v>
      </c>
      <c r="B56" s="127">
        <f>Summary!F13</f>
        <v>2339</v>
      </c>
      <c r="C56" s="127">
        <f>Summary!F17</f>
        <v>392</v>
      </c>
      <c r="D56" s="127">
        <f>Summary!F21</f>
        <v>50</v>
      </c>
      <c r="E56" s="127">
        <f>Summary!F26</f>
        <v>532</v>
      </c>
      <c r="F56" s="127">
        <f>Summary!F31</f>
        <v>3</v>
      </c>
      <c r="G56" s="128">
        <f t="shared" si="10"/>
        <v>3316</v>
      </c>
    </row>
    <row r="57" spans="1:7" x14ac:dyDescent="0.25">
      <c r="A57" s="117">
        <f t="shared" si="9"/>
        <v>2012</v>
      </c>
      <c r="B57" s="127">
        <f>Summary!G13</f>
        <v>2344.25</v>
      </c>
      <c r="C57" s="127">
        <f>Summary!G17</f>
        <v>394.75</v>
      </c>
      <c r="D57" s="127">
        <f>Summary!G21</f>
        <v>51.75</v>
      </c>
      <c r="E57" s="127">
        <f>Summary!G26</f>
        <v>532</v>
      </c>
      <c r="F57" s="127">
        <f>Summary!G31</f>
        <v>2</v>
      </c>
      <c r="G57" s="128">
        <f t="shared" si="10"/>
        <v>3324.75</v>
      </c>
    </row>
    <row r="58" spans="1:7" x14ac:dyDescent="0.25">
      <c r="A58" s="117">
        <f t="shared" si="9"/>
        <v>2013</v>
      </c>
      <c r="B58" s="127">
        <f>Summary!H13</f>
        <v>2346.25</v>
      </c>
      <c r="C58" s="127">
        <f>Summary!H17</f>
        <v>400.08333333333331</v>
      </c>
      <c r="D58" s="127">
        <f>Summary!H21</f>
        <v>53.083333333333336</v>
      </c>
      <c r="E58" s="127">
        <f>Summary!H26</f>
        <v>532</v>
      </c>
      <c r="F58" s="127">
        <f>Summary!H31</f>
        <v>1</v>
      </c>
      <c r="G58" s="128">
        <f t="shared" si="10"/>
        <v>3332.416666666667</v>
      </c>
    </row>
    <row r="59" spans="1:7" x14ac:dyDescent="0.25">
      <c r="A59" s="117" t="str">
        <f>A42</f>
        <v>2013 Board Approved</v>
      </c>
      <c r="B59" s="127">
        <v>2323</v>
      </c>
      <c r="C59" s="127">
        <v>386</v>
      </c>
      <c r="D59" s="127">
        <v>51</v>
      </c>
      <c r="E59" s="127">
        <v>531.25263219856038</v>
      </c>
      <c r="F59" s="127">
        <v>2</v>
      </c>
      <c r="G59" s="128">
        <f t="shared" si="10"/>
        <v>3293.2526321985606</v>
      </c>
    </row>
    <row r="60" spans="1:7" x14ac:dyDescent="0.25">
      <c r="A60" s="117">
        <f>A31</f>
        <v>2014</v>
      </c>
      <c r="B60" s="127">
        <f>Summary!I13</f>
        <v>2355.8333333333335</v>
      </c>
      <c r="C60" s="127">
        <f>Summary!I17</f>
        <v>403.91666666666669</v>
      </c>
      <c r="D60" s="127">
        <f>Summary!I21</f>
        <v>52.166666666666664</v>
      </c>
      <c r="E60" s="127">
        <f>Summary!I26</f>
        <v>534</v>
      </c>
      <c r="F60" s="127">
        <f>Summary!I31</f>
        <v>1</v>
      </c>
      <c r="G60" s="128">
        <f t="shared" si="10"/>
        <v>3346.9166666666665</v>
      </c>
    </row>
    <row r="61" spans="1:7" x14ac:dyDescent="0.25">
      <c r="A61" s="117">
        <f>A32</f>
        <v>2015</v>
      </c>
      <c r="B61" s="127">
        <f>Summary!J13</f>
        <v>2356.75</v>
      </c>
      <c r="C61" s="127">
        <f>Summary!J17</f>
        <v>403.75</v>
      </c>
      <c r="D61" s="127">
        <f>Summary!J21</f>
        <v>51.25</v>
      </c>
      <c r="E61" s="127">
        <f>Summary!J26</f>
        <v>532</v>
      </c>
      <c r="F61" s="127">
        <f>Summary!J31</f>
        <v>0.67</v>
      </c>
      <c r="G61" s="128">
        <f t="shared" si="10"/>
        <v>3344.42</v>
      </c>
    </row>
    <row r="62" spans="1:7" x14ac:dyDescent="0.25">
      <c r="A62" s="117">
        <f>A33</f>
        <v>2016</v>
      </c>
      <c r="B62" s="127">
        <f>Summary!K13</f>
        <v>2374.3333333333335</v>
      </c>
      <c r="C62" s="127">
        <f>Summary!K17</f>
        <v>402.08333333333331</v>
      </c>
      <c r="D62" s="127">
        <f>Summary!K21</f>
        <v>50.5</v>
      </c>
      <c r="E62" s="127">
        <f>Summary!K26</f>
        <v>531</v>
      </c>
      <c r="F62" s="127">
        <f>Summary!K31</f>
        <v>0</v>
      </c>
      <c r="G62" s="128">
        <f t="shared" si="10"/>
        <v>3357.916666666667</v>
      </c>
    </row>
    <row r="63" spans="1:7" ht="12.75" customHeight="1" x14ac:dyDescent="0.25">
      <c r="A63" s="123" t="str">
        <f>A46</f>
        <v>2017 Bridge</v>
      </c>
      <c r="B63" s="127">
        <f>Summary!L13</f>
        <v>2380.4483782880525</v>
      </c>
      <c r="C63" s="127">
        <f>Summary!L17</f>
        <v>402.08333333333331</v>
      </c>
      <c r="D63" s="127">
        <f>Summary!L21</f>
        <v>51.544810037521799</v>
      </c>
      <c r="E63" s="127">
        <f>Summary!L26</f>
        <v>531</v>
      </c>
      <c r="F63" s="127">
        <f>Summary!L31</f>
        <v>0</v>
      </c>
      <c r="G63" s="128">
        <f t="shared" si="10"/>
        <v>3365.076521658908</v>
      </c>
    </row>
    <row r="64" spans="1:7" ht="12.75" customHeight="1" x14ac:dyDescent="0.25">
      <c r="A64" s="117" t="str">
        <f>A47</f>
        <v>2018 Test</v>
      </c>
      <c r="B64" s="127">
        <f>Summary!M13</f>
        <v>2386.5791724108744</v>
      </c>
      <c r="C64" s="127">
        <f>Summary!M17</f>
        <v>402.08333333333331</v>
      </c>
      <c r="D64" s="127">
        <f>Summary!M21</f>
        <v>52.611236471370454</v>
      </c>
      <c r="E64" s="127">
        <f>Summary!M26</f>
        <v>531</v>
      </c>
      <c r="F64" s="127">
        <f>Summary!M31</f>
        <v>0</v>
      </c>
      <c r="G64" s="128">
        <f t="shared" si="10"/>
        <v>3372.2737422155783</v>
      </c>
    </row>
    <row r="65" spans="1:7" ht="13" x14ac:dyDescent="0.25">
      <c r="A65" s="175" t="s">
        <v>147</v>
      </c>
      <c r="B65" s="175"/>
      <c r="C65" s="175"/>
      <c r="D65" s="175"/>
      <c r="E65" s="175"/>
      <c r="F65" s="175"/>
      <c r="G65"/>
    </row>
    <row r="66" spans="1:7" x14ac:dyDescent="0.25">
      <c r="A66" s="123">
        <f t="shared" ref="A66:A75" si="11">A8</f>
        <v>2007</v>
      </c>
      <c r="B66" s="129">
        <f>B24*1000000/B52</f>
        <v>14143.998275862068</v>
      </c>
      <c r="C66" s="129">
        <f t="shared" ref="C66:E66" si="12">C24*1000000/C52</f>
        <v>37796.496296296296</v>
      </c>
      <c r="D66" s="129">
        <f t="shared" si="12"/>
        <v>1000604.6190476191</v>
      </c>
      <c r="E66" s="129">
        <f t="shared" si="12"/>
        <v>918.54596622889301</v>
      </c>
      <c r="F66" s="129">
        <f>F24*1000000/F52</f>
        <v>3268.1538461538462</v>
      </c>
      <c r="G66"/>
    </row>
    <row r="67" spans="1:7" x14ac:dyDescent="0.25">
      <c r="A67" s="123">
        <f t="shared" si="11"/>
        <v>2008</v>
      </c>
      <c r="B67" s="129">
        <f t="shared" ref="B67:E71" si="13">B25*1000000/B53</f>
        <v>14396.769824260609</v>
      </c>
      <c r="C67" s="129">
        <f t="shared" si="13"/>
        <v>37583.782178217822</v>
      </c>
      <c r="D67" s="129">
        <f t="shared" si="13"/>
        <v>669364.09756097558</v>
      </c>
      <c r="E67" s="129">
        <f t="shared" si="13"/>
        <v>928.88533834586462</v>
      </c>
      <c r="F67" s="129">
        <f t="shared" ref="F67" si="14">F25*1000000/F53</f>
        <v>3268.1538461538462</v>
      </c>
      <c r="G67"/>
    </row>
    <row r="68" spans="1:7" x14ac:dyDescent="0.25">
      <c r="A68" s="123">
        <f t="shared" si="11"/>
        <v>2009</v>
      </c>
      <c r="B68" s="129">
        <f t="shared" si="13"/>
        <v>14515.242580645161</v>
      </c>
      <c r="C68" s="129">
        <f t="shared" si="13"/>
        <v>40032.009900990102</v>
      </c>
      <c r="D68" s="129">
        <f t="shared" si="13"/>
        <v>549832.1</v>
      </c>
      <c r="E68" s="129">
        <f t="shared" si="13"/>
        <v>883.35393258426961</v>
      </c>
      <c r="F68" s="129">
        <f t="shared" ref="F68" si="15">F26*1000000/F54</f>
        <v>3268.1538461538462</v>
      </c>
      <c r="G68"/>
    </row>
    <row r="69" spans="1:7" x14ac:dyDescent="0.25">
      <c r="A69" s="123">
        <f t="shared" si="11"/>
        <v>2010</v>
      </c>
      <c r="B69" s="129">
        <f t="shared" si="13"/>
        <v>13398.754619681995</v>
      </c>
      <c r="C69" s="129">
        <f t="shared" si="13"/>
        <v>35212.325062034739</v>
      </c>
      <c r="D69" s="129">
        <f t="shared" si="13"/>
        <v>560110.73333333328</v>
      </c>
      <c r="E69" s="129">
        <f t="shared" si="13"/>
        <v>880.52819548872185</v>
      </c>
      <c r="F69" s="129">
        <f t="shared" ref="F69" si="16">F27*1000000/F55</f>
        <v>3995.8288888888887</v>
      </c>
      <c r="G69"/>
    </row>
    <row r="70" spans="1:7" x14ac:dyDescent="0.25">
      <c r="A70" s="123">
        <f t="shared" si="11"/>
        <v>2011</v>
      </c>
      <c r="B70" s="129">
        <f t="shared" si="13"/>
        <v>13978.024796921762</v>
      </c>
      <c r="C70" s="129">
        <f t="shared" si="13"/>
        <v>32204.089285714286</v>
      </c>
      <c r="D70" s="129">
        <f t="shared" si="13"/>
        <v>545315.62</v>
      </c>
      <c r="E70" s="129">
        <f t="shared" si="13"/>
        <v>936.93984962406012</v>
      </c>
      <c r="F70" s="129">
        <f>F28*1000000/F56</f>
        <v>5199</v>
      </c>
      <c r="G70"/>
    </row>
    <row r="71" spans="1:7" x14ac:dyDescent="0.25">
      <c r="A71" s="123">
        <f t="shared" si="11"/>
        <v>2012</v>
      </c>
      <c r="B71" s="129">
        <f t="shared" si="13"/>
        <v>13772.327157939641</v>
      </c>
      <c r="C71" s="129">
        <f t="shared" si="13"/>
        <v>30103.698518049398</v>
      </c>
      <c r="D71" s="129">
        <f t="shared" si="13"/>
        <v>527163.92270531401</v>
      </c>
      <c r="E71" s="129">
        <f t="shared" si="13"/>
        <v>880.10454887218043</v>
      </c>
      <c r="F71" s="129">
        <f t="shared" ref="F71" si="17">F29*1000000/F57</f>
        <v>2352.3000000000002</v>
      </c>
      <c r="G71"/>
    </row>
    <row r="72" spans="1:7" x14ac:dyDescent="0.25">
      <c r="A72" s="123">
        <f t="shared" si="11"/>
        <v>2013</v>
      </c>
      <c r="B72" s="129">
        <f>B30*1000000/B58</f>
        <v>15501.78324986681</v>
      </c>
      <c r="C72" s="129">
        <f t="shared" ref="C72:E72" si="18">C30*1000000/C58</f>
        <v>32309.238358675277</v>
      </c>
      <c r="D72" s="129">
        <f t="shared" si="18"/>
        <v>628296.29576138139</v>
      </c>
      <c r="E72" s="129">
        <f t="shared" si="18"/>
        <v>972.32885338345864</v>
      </c>
      <c r="F72" s="129">
        <f>F30*1000000/F58</f>
        <v>2154</v>
      </c>
      <c r="G72"/>
    </row>
    <row r="73" spans="1:7" x14ac:dyDescent="0.25">
      <c r="A73" s="123">
        <f t="shared" si="11"/>
        <v>2014</v>
      </c>
      <c r="B73" s="129">
        <f>B31*1000000/B60</f>
        <v>15793.727711354793</v>
      </c>
      <c r="C73" s="129">
        <f t="shared" ref="C73:E73" si="19">C31*1000000/C60</f>
        <v>33423.888995254798</v>
      </c>
      <c r="D73" s="129">
        <f t="shared" si="19"/>
        <v>657870.6860702876</v>
      </c>
      <c r="E73" s="129">
        <f t="shared" si="19"/>
        <v>972.13617977528088</v>
      </c>
      <c r="F73" s="129">
        <f>F31*1000000/F60</f>
        <v>2235</v>
      </c>
      <c r="G73"/>
    </row>
    <row r="74" spans="1:7" x14ac:dyDescent="0.25">
      <c r="A74" s="123">
        <f t="shared" si="11"/>
        <v>2015</v>
      </c>
      <c r="B74" s="129">
        <f t="shared" ref="B74:E75" si="20">B32*1000000/B61</f>
        <v>14321.134817014956</v>
      </c>
      <c r="C74" s="129">
        <f t="shared" si="20"/>
        <v>31155.555442724457</v>
      </c>
      <c r="D74" s="129">
        <f t="shared" si="20"/>
        <v>637222.72409756097</v>
      </c>
      <c r="E74" s="129">
        <f t="shared" si="20"/>
        <v>655.9861842105264</v>
      </c>
      <c r="F74" s="129">
        <f>F32*1000000/F61</f>
        <v>2220.8955223880594</v>
      </c>
      <c r="G74"/>
    </row>
    <row r="75" spans="1:7" x14ac:dyDescent="0.25">
      <c r="A75" s="123">
        <f t="shared" si="11"/>
        <v>2016</v>
      </c>
      <c r="B75" s="129">
        <f t="shared" si="20"/>
        <v>13758.904199073426</v>
      </c>
      <c r="C75" s="129">
        <f t="shared" si="20"/>
        <v>29459.742516062179</v>
      </c>
      <c r="D75" s="129">
        <f t="shared" si="20"/>
        <v>517853.5546534654</v>
      </c>
      <c r="E75" s="129">
        <f t="shared" si="20"/>
        <v>283.61007532956688</v>
      </c>
      <c r="F75" s="129"/>
      <c r="G75"/>
    </row>
    <row r="76" spans="1:7" ht="13" x14ac:dyDescent="0.25">
      <c r="A76" s="175" t="s">
        <v>148</v>
      </c>
      <c r="B76" s="175"/>
      <c r="C76" s="175"/>
      <c r="D76" s="175"/>
      <c r="E76" s="175"/>
      <c r="F76" s="175"/>
      <c r="G76" s="175"/>
    </row>
    <row r="77" spans="1:7" x14ac:dyDescent="0.25">
      <c r="A77" s="123">
        <f t="shared" ref="A77:A89" si="21">A35</f>
        <v>2007</v>
      </c>
      <c r="B77" s="129">
        <f>B35*1000000/B52</f>
        <v>14160.407045231523</v>
      </c>
      <c r="C77" s="129">
        <f t="shared" ref="C77:E77" si="22">C35*1000000/C52</f>
        <v>37840.34485867613</v>
      </c>
      <c r="D77" s="129">
        <f t="shared" si="22"/>
        <v>1001765.4428899115</v>
      </c>
      <c r="E77" s="129">
        <f t="shared" si="22"/>
        <v>919.61159198910082</v>
      </c>
      <c r="F77" s="129">
        <f>F35*1000000/F52</f>
        <v>3271.9453046707035</v>
      </c>
      <c r="G77"/>
    </row>
    <row r="78" spans="1:7" s="114" customFormat="1" ht="13" x14ac:dyDescent="0.3">
      <c r="A78" s="123">
        <f t="shared" si="21"/>
        <v>2008</v>
      </c>
      <c r="B78" s="129">
        <f t="shared" ref="B78:F89" si="23">B36*1000000/B53</f>
        <v>13987.147298324062</v>
      </c>
      <c r="C78" s="129">
        <f t="shared" si="23"/>
        <v>36514.433707830569</v>
      </c>
      <c r="D78" s="129">
        <f t="shared" si="23"/>
        <v>650319.0884539939</v>
      </c>
      <c r="E78" s="129">
        <f t="shared" si="23"/>
        <v>902.45632939154564</v>
      </c>
      <c r="F78" s="129">
        <f t="shared" si="23"/>
        <v>3175.1670546754654</v>
      </c>
      <c r="G78"/>
    </row>
    <row r="79" spans="1:7" s="114" customFormat="1" ht="13" x14ac:dyDescent="0.3">
      <c r="A79" s="123">
        <f t="shared" si="21"/>
        <v>2009</v>
      </c>
      <c r="B79" s="129">
        <f t="shared" si="23"/>
        <v>14426.197805250156</v>
      </c>
      <c r="C79" s="129">
        <f t="shared" si="23"/>
        <v>39786.430723760393</v>
      </c>
      <c r="D79" s="129">
        <f t="shared" si="23"/>
        <v>546459.11635350215</v>
      </c>
      <c r="E79" s="129">
        <f t="shared" si="23"/>
        <v>877.93493582384713</v>
      </c>
      <c r="F79" s="129">
        <f t="shared" si="23"/>
        <v>3248.105126776939</v>
      </c>
      <c r="G79"/>
    </row>
    <row r="80" spans="1:7" x14ac:dyDescent="0.25">
      <c r="A80" s="123">
        <f t="shared" si="21"/>
        <v>2010</v>
      </c>
      <c r="B80" s="129">
        <f t="shared" si="23"/>
        <v>14031.42979094353</v>
      </c>
      <c r="C80" s="129">
        <f t="shared" si="23"/>
        <v>36875.014201547347</v>
      </c>
      <c r="D80" s="129">
        <f t="shared" si="23"/>
        <v>586558.57600197545</v>
      </c>
      <c r="E80" s="129">
        <f t="shared" si="23"/>
        <v>922.10581540147905</v>
      </c>
      <c r="F80" s="129">
        <f t="shared" si="23"/>
        <v>4184.507747362496</v>
      </c>
      <c r="G80"/>
    </row>
    <row r="81" spans="1:7" x14ac:dyDescent="0.25">
      <c r="A81" s="123">
        <f t="shared" si="21"/>
        <v>2011</v>
      </c>
      <c r="B81" s="129">
        <f t="shared" si="23"/>
        <v>14244.712022891305</v>
      </c>
      <c r="C81" s="129">
        <f t="shared" si="23"/>
        <v>32818.512236113827</v>
      </c>
      <c r="D81" s="129">
        <f t="shared" si="23"/>
        <v>555719.71586393693</v>
      </c>
      <c r="E81" s="129">
        <f t="shared" si="23"/>
        <v>954.81575791774026</v>
      </c>
      <c r="F81" s="129">
        <f t="shared" si="23"/>
        <v>5298.1919035743158</v>
      </c>
      <c r="G81"/>
    </row>
    <row r="82" spans="1:7" x14ac:dyDescent="0.25">
      <c r="A82" s="123">
        <f t="shared" si="21"/>
        <v>2012</v>
      </c>
      <c r="B82" s="129">
        <f t="shared" si="23"/>
        <v>14761.41092399393</v>
      </c>
      <c r="C82" s="129">
        <f t="shared" si="23"/>
        <v>32265.648285938118</v>
      </c>
      <c r="D82" s="129">
        <f t="shared" si="23"/>
        <v>565023.12195449357</v>
      </c>
      <c r="E82" s="129">
        <f t="shared" si="23"/>
        <v>943.31079656999032</v>
      </c>
      <c r="F82" s="129">
        <f t="shared" si="23"/>
        <v>2521.2345392545531</v>
      </c>
      <c r="G82"/>
    </row>
    <row r="83" spans="1:7" x14ac:dyDescent="0.25">
      <c r="A83" s="123">
        <f t="shared" si="21"/>
        <v>2013</v>
      </c>
      <c r="B83" s="129">
        <f t="shared" si="23"/>
        <v>14659.016252244239</v>
      </c>
      <c r="C83" s="129">
        <f t="shared" si="23"/>
        <v>30552.72045566262</v>
      </c>
      <c r="D83" s="129">
        <f t="shared" si="23"/>
        <v>594138.45893310872</v>
      </c>
      <c r="E83" s="129">
        <f t="shared" si="23"/>
        <v>919.46740800911357</v>
      </c>
      <c r="F83" s="129">
        <f t="shared" si="23"/>
        <v>2036.8960459826701</v>
      </c>
      <c r="G83"/>
    </row>
    <row r="84" spans="1:7" ht="12.75" customHeight="1" x14ac:dyDescent="0.25">
      <c r="A84" s="123" t="str">
        <f t="shared" si="21"/>
        <v>2013 Board Approved</v>
      </c>
      <c r="B84" s="129">
        <f t="shared" si="23"/>
        <v>15244.661547812402</v>
      </c>
      <c r="C84" s="129">
        <f t="shared" si="23"/>
        <v>33950.422158034606</v>
      </c>
      <c r="D84" s="129">
        <f t="shared" si="23"/>
        <v>451885.91689550423</v>
      </c>
      <c r="E84" s="129">
        <f t="shared" si="23"/>
        <v>943.93036865837166</v>
      </c>
      <c r="F84" s="129">
        <f t="shared" si="23"/>
        <v>5772.4324606539631</v>
      </c>
      <c r="G84"/>
    </row>
    <row r="85" spans="1:7" x14ac:dyDescent="0.25">
      <c r="A85" s="123">
        <f t="shared" si="21"/>
        <v>2014</v>
      </c>
      <c r="B85" s="129">
        <f t="shared" si="23"/>
        <v>15038.118978346662</v>
      </c>
      <c r="C85" s="129">
        <f t="shared" si="23"/>
        <v>31824.812268248043</v>
      </c>
      <c r="D85" s="129">
        <f t="shared" si="23"/>
        <v>626396.61961367889</v>
      </c>
      <c r="E85" s="129">
        <f t="shared" si="23"/>
        <v>925.62691986298887</v>
      </c>
      <c r="F85" s="129">
        <f t="shared" si="23"/>
        <v>2128.072392462544</v>
      </c>
      <c r="G85"/>
    </row>
    <row r="86" spans="1:7" x14ac:dyDescent="0.25">
      <c r="A86" s="123">
        <f t="shared" si="21"/>
        <v>2015</v>
      </c>
      <c r="B86" s="129">
        <f t="shared" si="23"/>
        <v>14348.297726027822</v>
      </c>
      <c r="C86" s="129">
        <f t="shared" si="23"/>
        <v>31214.648212155727</v>
      </c>
      <c r="D86" s="129">
        <f t="shared" si="23"/>
        <v>638431.34499923897</v>
      </c>
      <c r="E86" s="129">
        <f t="shared" si="23"/>
        <v>657.23039378351609</v>
      </c>
      <c r="F86" s="129">
        <f t="shared" si="23"/>
        <v>2225.1078968802008</v>
      </c>
      <c r="G86"/>
    </row>
    <row r="87" spans="1:7" x14ac:dyDescent="0.25">
      <c r="A87" s="123">
        <f t="shared" si="21"/>
        <v>2016</v>
      </c>
      <c r="B87" s="129">
        <f t="shared" si="23"/>
        <v>14055.507508943994</v>
      </c>
      <c r="C87" s="129">
        <f t="shared" si="23"/>
        <v>30094.811778248568</v>
      </c>
      <c r="D87" s="129">
        <f t="shared" si="23"/>
        <v>529017.02204273629</v>
      </c>
      <c r="E87" s="129">
        <f t="shared" si="23"/>
        <v>289.72391156523571</v>
      </c>
      <c r="F87" s="129"/>
      <c r="G87"/>
    </row>
    <row r="88" spans="1:7" ht="12.75" customHeight="1" x14ac:dyDescent="0.25">
      <c r="A88" s="123" t="str">
        <f t="shared" si="21"/>
        <v>2017 Bridge</v>
      </c>
      <c r="B88" s="129">
        <f t="shared" si="23"/>
        <v>14083.385952829072</v>
      </c>
      <c r="C88" s="129">
        <f t="shared" si="23"/>
        <v>30201.846421858718</v>
      </c>
      <c r="D88" s="129">
        <f t="shared" si="23"/>
        <v>522760.1289179764</v>
      </c>
      <c r="E88" s="129">
        <f t="shared" si="23"/>
        <v>283.61007532956688</v>
      </c>
      <c r="F88" s="129"/>
      <c r="G88"/>
    </row>
    <row r="89" spans="1:7" x14ac:dyDescent="0.25">
      <c r="A89" s="123" t="str">
        <f t="shared" si="21"/>
        <v>2018 Test</v>
      </c>
      <c r="B89" s="129">
        <f t="shared" si="23"/>
        <v>13793.276286120885</v>
      </c>
      <c r="C89" s="129">
        <f t="shared" si="23"/>
        <v>29674.216249525041</v>
      </c>
      <c r="D89" s="129">
        <f t="shared" si="23"/>
        <v>514400.57300127321</v>
      </c>
      <c r="E89" s="129">
        <f t="shared" si="23"/>
        <v>283.61007532956688</v>
      </c>
      <c r="F89" s="129"/>
      <c r="G89"/>
    </row>
    <row r="91" spans="1:7" ht="13" x14ac:dyDescent="0.25">
      <c r="A91" s="174" t="s">
        <v>149</v>
      </c>
      <c r="B91" s="174"/>
    </row>
    <row r="92" spans="1:7" x14ac:dyDescent="0.25">
      <c r="A92" s="107" t="s">
        <v>23</v>
      </c>
      <c r="B92" s="130">
        <f>'Purchased Power Model '!P6</f>
        <v>0.81188699521836938</v>
      </c>
    </row>
    <row r="93" spans="1:7" x14ac:dyDescent="0.25">
      <c r="A93" s="107" t="s">
        <v>24</v>
      </c>
      <c r="B93" s="130">
        <f>'Purchased Power Model '!P7</f>
        <v>0.80867138829902518</v>
      </c>
    </row>
    <row r="94" spans="1:7" x14ac:dyDescent="0.25">
      <c r="A94" s="107" t="s">
        <v>150</v>
      </c>
      <c r="B94" s="132">
        <f>'Purchased Power Model '!S13</f>
        <v>252.48328405263211</v>
      </c>
      <c r="F94" s="131"/>
    </row>
    <row r="95" spans="1:7" x14ac:dyDescent="0.25">
      <c r="A95" s="107" t="s">
        <v>151</v>
      </c>
      <c r="B95" s="130">
        <f>'Purchased Power Model '!N123</f>
        <v>8.5186234783994244E-2</v>
      </c>
    </row>
    <row r="96" spans="1:7" x14ac:dyDescent="0.25">
      <c r="A96" s="107" t="s">
        <v>152</v>
      </c>
      <c r="B96" s="132"/>
    </row>
    <row r="97" spans="1:7" x14ac:dyDescent="0.25">
      <c r="A97" s="133" t="str">
        <f>'Purchased Power Model '!O19</f>
        <v>Heating Degree Days</v>
      </c>
      <c r="B97" s="134">
        <f>'Purchased Power Model '!R19</f>
        <v>21.762273709990748</v>
      </c>
    </row>
    <row r="98" spans="1:7" x14ac:dyDescent="0.25">
      <c r="A98" s="133" t="str">
        <f>'Purchased Power Model '!O20</f>
        <v>Spring Fall Flag</v>
      </c>
      <c r="B98" s="134">
        <f>'Purchased Power Model '!R20</f>
        <v>-3.0127438182956015</v>
      </c>
    </row>
    <row r="99" spans="1:7" x14ac:dyDescent="0.25">
      <c r="A99" s="133" t="str">
        <f>'Purchased Power Model '!O21</f>
        <v>Pulp Mill Flag</v>
      </c>
      <c r="B99" s="134">
        <f>'Purchased Power Model '!R21</f>
        <v>5.6522431512298628</v>
      </c>
    </row>
    <row r="100" spans="1:7" x14ac:dyDescent="0.25">
      <c r="A100" s="133" t="s">
        <v>153</v>
      </c>
      <c r="B100" s="134">
        <f>'Purchased Power Model '!R18</f>
        <v>18.617741921549722</v>
      </c>
    </row>
    <row r="103" spans="1:7" ht="13" x14ac:dyDescent="0.25">
      <c r="A103" s="174" t="s">
        <v>154</v>
      </c>
      <c r="B103" s="174"/>
      <c r="C103" s="174"/>
      <c r="D103" s="174"/>
      <c r="E103" s="174"/>
      <c r="F103" s="174"/>
      <c r="G103" s="174"/>
    </row>
    <row r="104" spans="1:7" ht="52" x14ac:dyDescent="0.25">
      <c r="A104" s="103" t="s">
        <v>134</v>
      </c>
      <c r="B104" s="104" t="s">
        <v>155</v>
      </c>
      <c r="C104" s="104" t="s">
        <v>156</v>
      </c>
      <c r="D104" s="104" t="s">
        <v>9</v>
      </c>
      <c r="E104" s="104" t="s">
        <v>157</v>
      </c>
      <c r="F104" s="104" t="s">
        <v>158</v>
      </c>
      <c r="G104" s="104" t="s">
        <v>159</v>
      </c>
    </row>
    <row r="105" spans="1:7" ht="13" x14ac:dyDescent="0.25">
      <c r="A105" s="175" t="s">
        <v>160</v>
      </c>
      <c r="B105" s="175"/>
      <c r="C105" s="175"/>
      <c r="D105" s="175"/>
      <c r="E105" s="175"/>
      <c r="F105" s="175"/>
      <c r="G105" s="175"/>
    </row>
    <row r="106" spans="1:7" x14ac:dyDescent="0.25">
      <c r="A106" s="107">
        <v>2007</v>
      </c>
      <c r="B106" s="110">
        <f>'Purchased Power Model '!B150/1000000</f>
        <v>93.884879999999995</v>
      </c>
      <c r="C106" s="110">
        <f>'Purchased Power Model '!L150/1000000</f>
        <v>93.451827500962679</v>
      </c>
      <c r="D106" s="135">
        <f t="shared" ref="D106:D115" si="24">C106/B106-1</f>
        <v>-4.6125904302941612E-3</v>
      </c>
      <c r="E106" s="110">
        <f>'Purchased Power Model '!M150/1000000</f>
        <v>93.560243060319337</v>
      </c>
      <c r="F106" s="136">
        <f t="shared" ref="F106:F118" si="25">E106/C106</f>
        <v>1.0011601224101856</v>
      </c>
      <c r="G106" s="110">
        <f t="shared" ref="G106:G115" si="26">B106*F106</f>
        <v>93.993797953265585</v>
      </c>
    </row>
    <row r="107" spans="1:7" x14ac:dyDescent="0.25">
      <c r="A107" s="107">
        <v>2008</v>
      </c>
      <c r="B107" s="110">
        <f>'Purchased Power Model '!B151/1000000</f>
        <v>81.867474999999999</v>
      </c>
      <c r="C107" s="110">
        <f>'Purchased Power Model '!L151/1000000</f>
        <v>85.259100602031438</v>
      </c>
      <c r="D107" s="135">
        <f t="shared" si="24"/>
        <v>4.142824243732246E-2</v>
      </c>
      <c r="E107" s="110">
        <f>'Purchased Power Model '!M151/1000000</f>
        <v>82.833275324973101</v>
      </c>
      <c r="F107" s="136">
        <f t="shared" si="25"/>
        <v>0.97154760887777258</v>
      </c>
      <c r="G107" s="110">
        <f t="shared" si="26"/>
        <v>79.538149581110829</v>
      </c>
    </row>
    <row r="108" spans="1:7" x14ac:dyDescent="0.25">
      <c r="A108" s="107">
        <v>2009</v>
      </c>
      <c r="B108" s="110">
        <f>'Purchased Power Model '!B152/1000000</f>
        <v>76.016628999999995</v>
      </c>
      <c r="C108" s="110">
        <f>'Purchased Power Model '!L152/1000000</f>
        <v>77.177027372777516</v>
      </c>
      <c r="D108" s="135">
        <f t="shared" si="24"/>
        <v>1.5265059606596409E-2</v>
      </c>
      <c r="E108" s="110">
        <f>'Purchased Power Model '!M152/1000000</f>
        <v>76.703579476203828</v>
      </c>
      <c r="F108" s="136">
        <f t="shared" si="25"/>
        <v>0.99386542974392034</v>
      </c>
      <c r="G108" s="110">
        <f t="shared" si="26"/>
        <v>75.550299648769155</v>
      </c>
    </row>
    <row r="109" spans="1:7" x14ac:dyDescent="0.25">
      <c r="A109" s="107">
        <v>2010</v>
      </c>
      <c r="B109" s="110">
        <f>'Purchased Power Model '!B153/1000000</f>
        <v>74.719842</v>
      </c>
      <c r="C109" s="110">
        <f>'Purchased Power Model '!L153/1000000</f>
        <v>75.440016775785381</v>
      </c>
      <c r="D109" s="135">
        <f t="shared" si="24"/>
        <v>9.6383337612702125E-3</v>
      </c>
      <c r="E109" s="110">
        <f>'Purchased Power Model '!M153/1000000</f>
        <v>79.002215419492302</v>
      </c>
      <c r="F109" s="136">
        <f t="shared" si="25"/>
        <v>1.047218953493795</v>
      </c>
      <c r="G109" s="110">
        <f t="shared" si="26"/>
        <v>78.248034744461705</v>
      </c>
    </row>
    <row r="110" spans="1:7" x14ac:dyDescent="0.25">
      <c r="A110" s="107">
        <v>2011</v>
      </c>
      <c r="B110" s="110">
        <f>'Purchased Power Model '!B154/1000000</f>
        <v>76.399313000000006</v>
      </c>
      <c r="C110" s="110">
        <f>'Purchased Power Model '!L154/1000000</f>
        <v>75.267547298117634</v>
      </c>
      <c r="D110" s="135">
        <f t="shared" si="24"/>
        <v>-1.4813820405457978E-2</v>
      </c>
      <c r="E110" s="110">
        <f>'Purchased Power Model '!M154/1000000</f>
        <v>76.703579476203828</v>
      </c>
      <c r="F110" s="136">
        <f t="shared" si="25"/>
        <v>1.0190790351171986</v>
      </c>
      <c r="G110" s="110">
        <f t="shared" si="26"/>
        <v>77.85693817565685</v>
      </c>
    </row>
    <row r="111" spans="1:7" x14ac:dyDescent="0.25">
      <c r="A111" s="107">
        <v>2012</v>
      </c>
      <c r="B111" s="110">
        <f>'Purchased Power Model '!B155/1000000</f>
        <v>75.601634000000004</v>
      </c>
      <c r="C111" s="110">
        <f>'Purchased Power Model '!L155/1000000</f>
        <v>71.564079895249051</v>
      </c>
      <c r="D111" s="135">
        <f t="shared" si="24"/>
        <v>-5.340564603075848E-2</v>
      </c>
      <c r="E111" s="110">
        <f>'Purchased Power Model '!M155/1000000</f>
        <v>76.703579476203828</v>
      </c>
      <c r="F111" s="136">
        <f t="shared" si="25"/>
        <v>1.0718167492473549</v>
      </c>
      <c r="G111" s="110">
        <f t="shared" si="26"/>
        <v>81.031097591668313</v>
      </c>
    </row>
    <row r="112" spans="1:7" x14ac:dyDescent="0.25">
      <c r="A112" s="107">
        <v>2013</v>
      </c>
      <c r="B112" s="110">
        <f>'Purchased Power Model '!B156/1000000</f>
        <v>87.692322840000003</v>
      </c>
      <c r="C112" s="110">
        <f>'Purchased Power Model '!L156/1000000</f>
        <v>88.405736764243898</v>
      </c>
      <c r="D112" s="135">
        <f t="shared" si="24"/>
        <v>8.1354205378452171E-3</v>
      </c>
      <c r="E112" s="110">
        <f>'Purchased Power Model '!M156/1000000</f>
        <v>83.59948730606925</v>
      </c>
      <c r="F112" s="136">
        <f t="shared" si="25"/>
        <v>0.94563419033550145</v>
      </c>
      <c r="G112" s="110">
        <f t="shared" si="26"/>
        <v>82.924858707442809</v>
      </c>
    </row>
    <row r="113" spans="1:7" x14ac:dyDescent="0.25">
      <c r="A113" s="107">
        <v>2014</v>
      </c>
      <c r="B113" s="110">
        <f>'Purchased Power Model '!B157/1000000</f>
        <v>89.519316590000003</v>
      </c>
      <c r="C113" s="110">
        <f>'Purchased Power Model '!L157/1000000</f>
        <v>90.214179810000772</v>
      </c>
      <c r="D113" s="135">
        <f t="shared" si="24"/>
        <v>7.7621595703556423E-3</v>
      </c>
      <c r="E113" s="110">
        <f>'Purchased Power Model '!M157/1000000</f>
        <v>85.898123249357724</v>
      </c>
      <c r="F113" s="136">
        <f t="shared" si="25"/>
        <v>0.95215767000561269</v>
      </c>
      <c r="G113" s="110">
        <f t="shared" si="26"/>
        <v>85.236503904829192</v>
      </c>
    </row>
    <row r="114" spans="1:7" x14ac:dyDescent="0.25">
      <c r="A114" s="107">
        <v>2015</v>
      </c>
      <c r="B114" s="110">
        <f>'Purchased Power Model '!B158/1000000</f>
        <v>83.393450549999983</v>
      </c>
      <c r="C114" s="110">
        <f>'Purchased Power Model '!L158/1000000</f>
        <v>82.676462805198824</v>
      </c>
      <c r="D114" s="135">
        <f t="shared" si="24"/>
        <v>-8.5976505357728827E-3</v>
      </c>
      <c r="E114" s="110">
        <f>'Purchased Power Model '!M158/1000000</f>
        <v>82.833275324973101</v>
      </c>
      <c r="F114" s="136">
        <f t="shared" si="25"/>
        <v>1.001896700880198</v>
      </c>
      <c r="G114" s="110">
        <f t="shared" si="26"/>
        <v>83.551622981060916</v>
      </c>
    </row>
    <row r="115" spans="1:7" x14ac:dyDescent="0.25">
      <c r="A115" s="107">
        <v>2016</v>
      </c>
      <c r="B115" s="110">
        <f>'Purchased Power Model '!B159/1000000</f>
        <v>75.446074609999997</v>
      </c>
      <c r="C115" s="110">
        <f>'Purchased Power Model '!L159/1000000</f>
        <v>75.084958765632862</v>
      </c>
      <c r="D115" s="135">
        <f t="shared" si="24"/>
        <v>-4.7864099787011671E-3</v>
      </c>
      <c r="E115" s="110">
        <f>'Purchased Power Model '!M159/1000000</f>
        <v>76.703579476203828</v>
      </c>
      <c r="F115" s="136">
        <f t="shared" si="25"/>
        <v>1.0215571898444169</v>
      </c>
      <c r="G115" s="110">
        <f t="shared" si="26"/>
        <v>77.072479963383813</v>
      </c>
    </row>
    <row r="116" spans="1:7" ht="12.75" customHeight="1" x14ac:dyDescent="0.25">
      <c r="A116" s="107" t="str">
        <f>A88</f>
        <v>2017 Bridge</v>
      </c>
      <c r="B116" s="137"/>
      <c r="C116" s="110">
        <f>'Purchased Power Model '!L160/1000000</f>
        <v>76.703579476203828</v>
      </c>
      <c r="D116" s="138"/>
      <c r="E116" s="110">
        <f>C116</f>
        <v>76.703579476203828</v>
      </c>
      <c r="F116" s="136">
        <f t="shared" si="25"/>
        <v>1</v>
      </c>
      <c r="G116" s="110"/>
    </row>
    <row r="117" spans="1:7" ht="13" x14ac:dyDescent="0.25">
      <c r="A117" s="107" t="str">
        <f>A89</f>
        <v>2018 Test</v>
      </c>
      <c r="B117" s="137"/>
      <c r="C117" s="110">
        <f>'Purchased Power Model '!L161/1000000</f>
        <v>76.703579476203828</v>
      </c>
      <c r="D117" s="138"/>
      <c r="E117" s="110">
        <f t="shared" ref="E117:E118" si="27">C117</f>
        <v>76.703579476203828</v>
      </c>
      <c r="F117" s="136">
        <f t="shared" si="25"/>
        <v>1</v>
      </c>
      <c r="G117" s="110"/>
    </row>
    <row r="118" spans="1:7" s="113" customFormat="1" x14ac:dyDescent="0.25">
      <c r="A118" s="107" t="s">
        <v>186</v>
      </c>
      <c r="B118" s="132"/>
      <c r="C118" s="110">
        <f>'Purchased Power Model '!M182/1000000</f>
        <v>89.900895499182752</v>
      </c>
      <c r="D118" s="135"/>
      <c r="E118" s="110">
        <f t="shared" si="27"/>
        <v>89.900895499182752</v>
      </c>
      <c r="F118" s="136">
        <f t="shared" si="25"/>
        <v>1</v>
      </c>
      <c r="G118" s="139"/>
    </row>
    <row r="121" spans="1:7" x14ac:dyDescent="0.25">
      <c r="B121" s="144"/>
      <c r="C121" s="144"/>
      <c r="D121" s="144"/>
      <c r="E121" s="144"/>
    </row>
    <row r="122" spans="1:7" ht="13" x14ac:dyDescent="0.3">
      <c r="A122" s="182" t="s">
        <v>190</v>
      </c>
      <c r="B122" s="183"/>
      <c r="C122" s="183"/>
      <c r="D122" s="183"/>
      <c r="E122" s="183"/>
      <c r="F122" s="97"/>
    </row>
    <row r="123" spans="1:7" ht="13" x14ac:dyDescent="0.3">
      <c r="A123" s="145"/>
      <c r="B123" s="145">
        <v>2017</v>
      </c>
      <c r="C123" s="145">
        <v>2018</v>
      </c>
      <c r="D123"/>
      <c r="E123" s="97"/>
      <c r="F123" s="97"/>
    </row>
    <row r="124" spans="1:7" x14ac:dyDescent="0.25">
      <c r="A124" s="146" t="s">
        <v>161</v>
      </c>
      <c r="B124" s="129">
        <f>B131+B139+B147</f>
        <v>707000</v>
      </c>
      <c r="C124" s="129">
        <f>B124</f>
        <v>707000</v>
      </c>
      <c r="D124"/>
      <c r="E124" s="97"/>
      <c r="F124" s="97"/>
    </row>
    <row r="125" spans="1:7" x14ac:dyDescent="0.25">
      <c r="A125" s="146" t="s">
        <v>189</v>
      </c>
      <c r="B125" s="129"/>
      <c r="C125" s="129">
        <f>C132+C140+C148</f>
        <v>694000</v>
      </c>
      <c r="D125"/>
      <c r="E125" s="97"/>
      <c r="F125" s="97"/>
    </row>
    <row r="126" spans="1:7" ht="25" x14ac:dyDescent="0.25">
      <c r="A126" s="147" t="s">
        <v>162</v>
      </c>
      <c r="B126" s="129">
        <f>B124</f>
        <v>707000</v>
      </c>
      <c r="C126" s="129">
        <f>C125</f>
        <v>694000</v>
      </c>
      <c r="D126"/>
      <c r="E126" s="97"/>
      <c r="F126" s="97"/>
    </row>
    <row r="127" spans="1:7" ht="25" x14ac:dyDescent="0.25">
      <c r="A127" s="147" t="s">
        <v>163</v>
      </c>
      <c r="B127" s="129">
        <f>SUM(B124:B125)</f>
        <v>707000</v>
      </c>
      <c r="C127" s="129">
        <f>SUM(C124:C125)</f>
        <v>1401000</v>
      </c>
      <c r="D127"/>
      <c r="E127" s="97"/>
      <c r="F127" s="97"/>
    </row>
    <row r="128" spans="1:7" x14ac:dyDescent="0.25">
      <c r="E128" s="97"/>
      <c r="F128" s="97"/>
      <c r="G128" s="97"/>
    </row>
    <row r="129" spans="1:5" s="97" customFormat="1" ht="13" x14ac:dyDescent="0.3">
      <c r="A129" s="182" t="s">
        <v>195</v>
      </c>
      <c r="B129" s="183"/>
      <c r="C129" s="183"/>
      <c r="D129" s="183"/>
      <c r="E129" s="183"/>
    </row>
    <row r="130" spans="1:5" customFormat="1" ht="13" x14ac:dyDescent="0.3">
      <c r="A130" s="145"/>
      <c r="B130" s="145">
        <v>2017</v>
      </c>
      <c r="C130" s="145">
        <v>2018</v>
      </c>
    </row>
    <row r="131" spans="1:5" customFormat="1" x14ac:dyDescent="0.25">
      <c r="A131" s="146" t="s">
        <v>161</v>
      </c>
      <c r="B131" s="129">
        <f>'Rate Class Energy Model'!H67</f>
        <v>332000</v>
      </c>
      <c r="C131" s="129">
        <f>B131</f>
        <v>332000</v>
      </c>
    </row>
    <row r="132" spans="1:5" customFormat="1" x14ac:dyDescent="0.25">
      <c r="A132" s="146" t="s">
        <v>189</v>
      </c>
      <c r="B132" s="129"/>
      <c r="C132" s="129">
        <f>'Rate Class Energy Model'!H68</f>
        <v>332000</v>
      </c>
    </row>
    <row r="133" spans="1:5" customFormat="1" ht="25" x14ac:dyDescent="0.25">
      <c r="A133" s="147" t="s">
        <v>162</v>
      </c>
      <c r="B133" s="129">
        <f>B131</f>
        <v>332000</v>
      </c>
      <c r="C133" s="129">
        <f>C132</f>
        <v>332000</v>
      </c>
    </row>
    <row r="134" spans="1:5" customFormat="1" ht="25" x14ac:dyDescent="0.25">
      <c r="A134" s="147" t="s">
        <v>163</v>
      </c>
      <c r="B134" s="129">
        <f>SUM(B131:B132)</f>
        <v>332000</v>
      </c>
      <c r="C134" s="129">
        <f>SUM(C131:C132)</f>
        <v>664000</v>
      </c>
    </row>
    <row r="135" spans="1:5" customFormat="1" x14ac:dyDescent="0.25"/>
    <row r="136" spans="1:5" s="97" customFormat="1" x14ac:dyDescent="0.25"/>
    <row r="137" spans="1:5" s="97" customFormat="1" ht="13" x14ac:dyDescent="0.3">
      <c r="A137" s="182" t="s">
        <v>196</v>
      </c>
      <c r="B137" s="183"/>
      <c r="C137" s="183"/>
      <c r="D137" s="183"/>
      <c r="E137" s="183"/>
    </row>
    <row r="138" spans="1:5" s="97" customFormat="1" ht="13" x14ac:dyDescent="0.3">
      <c r="A138" s="145"/>
      <c r="B138" s="145">
        <v>2017</v>
      </c>
      <c r="C138" s="145">
        <v>2018</v>
      </c>
      <c r="D138"/>
    </row>
    <row r="139" spans="1:5" s="97" customFormat="1" x14ac:dyDescent="0.25">
      <c r="A139" s="146" t="s">
        <v>161</v>
      </c>
      <c r="B139" s="129">
        <f>'Rate Class Energy Model'!I67</f>
        <v>82000</v>
      </c>
      <c r="C139" s="129">
        <f>B139</f>
        <v>82000</v>
      </c>
      <c r="D139"/>
    </row>
    <row r="140" spans="1:5" s="97" customFormat="1" x14ac:dyDescent="0.25">
      <c r="A140" s="146" t="s">
        <v>189</v>
      </c>
      <c r="B140" s="129"/>
      <c r="C140" s="129">
        <f>'Rate Class Energy Model'!I68</f>
        <v>82000</v>
      </c>
      <c r="D140"/>
    </row>
    <row r="141" spans="1:5" s="97" customFormat="1" ht="25" x14ac:dyDescent="0.25">
      <c r="A141" s="147" t="s">
        <v>162</v>
      </c>
      <c r="B141" s="129">
        <f>B139</f>
        <v>82000</v>
      </c>
      <c r="C141" s="129">
        <f>C140</f>
        <v>82000</v>
      </c>
      <c r="D141"/>
    </row>
    <row r="142" spans="1:5" s="97" customFormat="1" ht="25" x14ac:dyDescent="0.25">
      <c r="A142" s="147" t="s">
        <v>163</v>
      </c>
      <c r="B142" s="129">
        <f>SUM(B139:B140)</f>
        <v>82000</v>
      </c>
      <c r="C142" s="129">
        <f>SUM(C139:C140)</f>
        <v>164000</v>
      </c>
      <c r="D142"/>
    </row>
    <row r="143" spans="1:5" s="97" customFormat="1" x14ac:dyDescent="0.25">
      <c r="A143"/>
      <c r="B143"/>
      <c r="C143"/>
      <c r="D143"/>
    </row>
    <row r="144" spans="1:5" s="97" customFormat="1" x14ac:dyDescent="0.25"/>
    <row r="145" spans="1:5" s="97" customFormat="1" ht="13" x14ac:dyDescent="0.3">
      <c r="A145" s="182" t="s">
        <v>197</v>
      </c>
      <c r="B145" s="183"/>
      <c r="C145" s="183"/>
      <c r="D145" s="183"/>
      <c r="E145" s="183"/>
    </row>
    <row r="146" spans="1:5" s="97" customFormat="1" ht="13" x14ac:dyDescent="0.3">
      <c r="A146" s="145"/>
      <c r="B146" s="145">
        <v>2017</v>
      </c>
      <c r="C146" s="145">
        <v>2018</v>
      </c>
      <c r="D146"/>
    </row>
    <row r="147" spans="1:5" s="97" customFormat="1" x14ac:dyDescent="0.25">
      <c r="A147" s="146" t="s">
        <v>161</v>
      </c>
      <c r="B147" s="129">
        <f>'Rate Class Energy Model'!J67</f>
        <v>293000</v>
      </c>
      <c r="C147" s="129">
        <f>B147</f>
        <v>293000</v>
      </c>
      <c r="D147"/>
    </row>
    <row r="148" spans="1:5" s="97" customFormat="1" x14ac:dyDescent="0.25">
      <c r="A148" s="146" t="s">
        <v>189</v>
      </c>
      <c r="B148" s="129"/>
      <c r="C148" s="129">
        <f>'Rate Class Energy Model'!J68</f>
        <v>280000</v>
      </c>
      <c r="D148"/>
    </row>
    <row r="149" spans="1:5" s="97" customFormat="1" ht="25" x14ac:dyDescent="0.25">
      <c r="A149" s="147" t="s">
        <v>162</v>
      </c>
      <c r="B149" s="129">
        <f>B147</f>
        <v>293000</v>
      </c>
      <c r="C149" s="129">
        <f>C148</f>
        <v>280000</v>
      </c>
      <c r="D149"/>
    </row>
    <row r="150" spans="1:5" s="97" customFormat="1" ht="25" x14ac:dyDescent="0.25">
      <c r="A150" s="147" t="s">
        <v>163</v>
      </c>
      <c r="B150" s="129">
        <f>SUM(B147:B148)</f>
        <v>293000</v>
      </c>
      <c r="C150" s="129">
        <f>SUM(C147:C148)</f>
        <v>573000</v>
      </c>
      <c r="D150"/>
    </row>
    <row r="151" spans="1:5" s="97" customFormat="1" x14ac:dyDescent="0.25">
      <c r="A151"/>
      <c r="B151"/>
      <c r="C151"/>
      <c r="D151"/>
    </row>
    <row r="152" spans="1:5" s="97" customFormat="1" x14ac:dyDescent="0.25"/>
    <row r="153" spans="1:5" s="97" customFormat="1" ht="13" x14ac:dyDescent="0.3">
      <c r="A153" s="182" t="s">
        <v>191</v>
      </c>
      <c r="B153" s="183"/>
      <c r="C153" s="183"/>
      <c r="D153" s="183"/>
      <c r="E153" s="183"/>
    </row>
    <row r="154" spans="1:5" s="97" customFormat="1" ht="13" x14ac:dyDescent="0.3">
      <c r="A154" s="148" t="s">
        <v>134</v>
      </c>
      <c r="B154" s="170" t="str">
        <f>B51</f>
        <v>Residential</v>
      </c>
      <c r="C154" s="170" t="str">
        <f t="shared" ref="C154:D154" si="28">C51</f>
        <v>GS&lt;50</v>
      </c>
      <c r="D154" s="170" t="str">
        <f t="shared" si="28"/>
        <v>GS&gt;50</v>
      </c>
      <c r="E154" s="145" t="s">
        <v>10</v>
      </c>
    </row>
    <row r="155" spans="1:5" s="97" customFormat="1" x14ac:dyDescent="0.25">
      <c r="A155" s="146" t="str">
        <f>A116</f>
        <v>2017 Bridge</v>
      </c>
      <c r="B155" s="129">
        <f>0.5*B131</f>
        <v>166000</v>
      </c>
      <c r="C155" s="129">
        <f>B139*0.5</f>
        <v>41000</v>
      </c>
      <c r="D155" s="129">
        <f>B147*0.5</f>
        <v>146500</v>
      </c>
      <c r="E155" s="129">
        <f>SUM(B155:D155)</f>
        <v>353500</v>
      </c>
    </row>
    <row r="156" spans="1:5" s="97" customFormat="1" x14ac:dyDescent="0.25">
      <c r="A156" s="146" t="str">
        <f>A117</f>
        <v>2018 Test</v>
      </c>
      <c r="B156" s="129">
        <f>C131+C132*0.5</f>
        <v>498000</v>
      </c>
      <c r="C156" s="129">
        <f>C139+C140*0.5</f>
        <v>123000</v>
      </c>
      <c r="D156" s="129">
        <f>C147+C148*0.5</f>
        <v>433000</v>
      </c>
      <c r="E156" s="129">
        <f>SUM(B156:D156)</f>
        <v>1054000</v>
      </c>
    </row>
    <row r="157" spans="1:5" s="97" customFormat="1" x14ac:dyDescent="0.25"/>
    <row r="158" spans="1:5" s="97" customFormat="1" ht="33" customHeight="1" x14ac:dyDescent="0.3">
      <c r="A158" s="184" t="s">
        <v>164</v>
      </c>
      <c r="B158" s="185"/>
      <c r="C158" s="185"/>
      <c r="D158" s="185"/>
      <c r="E158" s="185"/>
    </row>
    <row r="159" spans="1:5" s="97" customFormat="1" ht="13" x14ac:dyDescent="0.3">
      <c r="A159" s="148" t="s">
        <v>134</v>
      </c>
      <c r="B159" s="145" t="str">
        <f>B154</f>
        <v>Residential</v>
      </c>
      <c r="C159" s="145" t="str">
        <f t="shared" ref="C159:D159" si="29">C154</f>
        <v>GS&lt;50</v>
      </c>
      <c r="D159" s="145" t="str">
        <f t="shared" si="29"/>
        <v>GS&gt;50</v>
      </c>
      <c r="E159" s="145" t="s">
        <v>10</v>
      </c>
    </row>
    <row r="160" spans="1:5" s="97" customFormat="1" x14ac:dyDescent="0.25">
      <c r="A160" s="146" t="s">
        <v>192</v>
      </c>
      <c r="B160" s="129">
        <f>C134</f>
        <v>664000</v>
      </c>
      <c r="C160" s="129">
        <f>C142</f>
        <v>164000</v>
      </c>
      <c r="D160" s="129">
        <f>C150</f>
        <v>573000</v>
      </c>
      <c r="E160" s="129">
        <f>SUM(B160:D160)</f>
        <v>1401000</v>
      </c>
    </row>
    <row r="161" spans="1:7" s="97" customFormat="1" x14ac:dyDescent="0.25">
      <c r="A161" s="146" t="s">
        <v>193</v>
      </c>
      <c r="B161" s="129"/>
      <c r="C161" s="129"/>
      <c r="D161" s="129">
        <f>D160*'Rate Class Load Model'!B27</f>
        <v>1528.2992177651311</v>
      </c>
      <c r="E161" s="129">
        <f>SUM(B161:D161)</f>
        <v>1528.2992177651311</v>
      </c>
    </row>
    <row r="162" spans="1:7" x14ac:dyDescent="0.25">
      <c r="A162" s="146" t="s">
        <v>194</v>
      </c>
      <c r="B162" s="129"/>
      <c r="C162" s="129"/>
      <c r="D162" s="129">
        <f>D161/12</f>
        <v>127.35826814709425</v>
      </c>
      <c r="E162" s="129">
        <f>SUM(B162:D162)</f>
        <v>127.35826814709425</v>
      </c>
    </row>
    <row r="163" spans="1:7" x14ac:dyDescent="0.25">
      <c r="B163" s="144"/>
      <c r="C163" s="144"/>
      <c r="D163" s="144"/>
      <c r="E163" s="144"/>
    </row>
    <row r="165" spans="1:7" ht="13" x14ac:dyDescent="0.25">
      <c r="A165" s="174" t="s">
        <v>165</v>
      </c>
      <c r="B165" s="174"/>
      <c r="C165" s="174"/>
      <c r="D165" s="174"/>
      <c r="E165" s="174"/>
      <c r="F165" s="174"/>
      <c r="G165" s="142"/>
    </row>
    <row r="166" spans="1:7" ht="39" x14ac:dyDescent="0.25">
      <c r="A166" s="103" t="s">
        <v>134</v>
      </c>
      <c r="B166" s="116" t="str">
        <f>B22</f>
        <v>Residential</v>
      </c>
      <c r="C166" s="116" t="str">
        <f t="shared" ref="C166:F166" si="30">C22</f>
        <v>GS&lt;50</v>
      </c>
      <c r="D166" s="116" t="str">
        <f t="shared" si="30"/>
        <v>GS&gt;50</v>
      </c>
      <c r="E166" s="116" t="str">
        <f t="shared" si="30"/>
        <v>Street 
Lights</v>
      </c>
      <c r="F166" s="116" t="str">
        <f t="shared" si="30"/>
        <v>Unmetered Scattered Load</v>
      </c>
      <c r="G166" s="104" t="s">
        <v>10</v>
      </c>
    </row>
    <row r="167" spans="1:7" ht="13" x14ac:dyDescent="0.25">
      <c r="A167" s="179" t="s">
        <v>166</v>
      </c>
      <c r="B167" s="180"/>
      <c r="C167" s="180"/>
      <c r="D167" s="180"/>
      <c r="E167" s="180"/>
      <c r="F167" s="180"/>
      <c r="G167" s="181"/>
    </row>
    <row r="168" spans="1:7" x14ac:dyDescent="0.25">
      <c r="A168" s="107" t="str">
        <f>A155</f>
        <v>2017 Bridge</v>
      </c>
      <c r="B168" s="149">
        <f>'Rate Class Energy Model'!H51/1000000</f>
        <v>32.752361187705006</v>
      </c>
      <c r="C168" s="149">
        <f>'Rate Class Energy Model'!I51/1000000</f>
        <v>11.84527147</v>
      </c>
      <c r="D168" s="149">
        <f>'Rate Class Energy Model'!J51/1000000</f>
        <v>26.692663101868288</v>
      </c>
      <c r="E168" s="149">
        <f>'Rate Class Energy Model'!K51/1000000</f>
        <v>0</v>
      </c>
      <c r="F168" s="149">
        <f>'Rate Class Energy Model'!L51/1000000</f>
        <v>0.15059695000000001</v>
      </c>
      <c r="G168" s="149">
        <f>SUM(B168:F168)</f>
        <v>71.440892709573291</v>
      </c>
    </row>
    <row r="169" spans="1:7" x14ac:dyDescent="0.25">
      <c r="A169" s="107" t="str">
        <f>A156</f>
        <v>2018 Test</v>
      </c>
      <c r="B169" s="149">
        <f>'Rate Class Energy Model'!H52/1000000</f>
        <v>32.836714196705159</v>
      </c>
      <c r="C169" s="149">
        <f>'Rate Class Energy Model'!I52/1000000</f>
        <v>11.84527147</v>
      </c>
      <c r="D169" s="149">
        <f>'Rate Class Energy Model'!J52/1000000</f>
        <v>27.24491582141323</v>
      </c>
      <c r="E169" s="149">
        <f>'Rate Class Energy Model'!K52/1000000</f>
        <v>0</v>
      </c>
      <c r="F169" s="149">
        <f>'Rate Class Energy Model'!L52/1000000</f>
        <v>0.15059695000000001</v>
      </c>
      <c r="G169" s="149">
        <f>SUM(B169:F169)</f>
        <v>72.077498438118383</v>
      </c>
    </row>
    <row r="170" spans="1:7" ht="13" x14ac:dyDescent="0.25">
      <c r="A170" s="179" t="s">
        <v>167</v>
      </c>
      <c r="B170" s="180"/>
      <c r="C170" s="180"/>
      <c r="D170" s="180"/>
      <c r="E170" s="180"/>
      <c r="F170" s="180"/>
      <c r="G170" s="181"/>
    </row>
    <row r="171" spans="1:7" x14ac:dyDescent="0.25">
      <c r="A171" s="101" t="str">
        <f>A168</f>
        <v>2017 Bridge</v>
      </c>
      <c r="B171" s="150">
        <f>'Rate Class Energy Model'!H63/1000000</f>
        <v>0.93841206451169712</v>
      </c>
      <c r="C171" s="150">
        <f>'Rate Class Energy Model'!I63/1000000</f>
        <v>0.33938761212235818</v>
      </c>
      <c r="D171" s="150">
        <f>'Rate Class Energy Model'!J63/1000000</f>
        <v>0.39940843839921369</v>
      </c>
      <c r="E171" s="150">
        <f>'Rate Class Energy Model'!K63/1000000</f>
        <v>0</v>
      </c>
      <c r="F171" s="150">
        <f>'Rate Class Energy Model'!L63/1000000</f>
        <v>0</v>
      </c>
      <c r="G171" s="149">
        <f>SUM(B171:F171)</f>
        <v>1.6772081150332689</v>
      </c>
    </row>
    <row r="172" spans="1:7" x14ac:dyDescent="0.25">
      <c r="A172" s="101" t="str">
        <f>A169</f>
        <v>2018 Test</v>
      </c>
      <c r="B172" s="150">
        <f>'Rate Class Energy Model'!H64/1000000</f>
        <v>0.58003170705976304</v>
      </c>
      <c r="C172" s="150">
        <f>'Rate Class Energy Model'!I64/1000000</f>
        <v>0.20923631366319262</v>
      </c>
      <c r="D172" s="150">
        <f>'Rate Class Energy Model'!J64/1000000</f>
        <v>0.25133436576521362</v>
      </c>
      <c r="E172" s="150">
        <f>'Rate Class Energy Model'!K64/1000000</f>
        <v>0</v>
      </c>
      <c r="F172" s="150">
        <f>'Rate Class Energy Model'!L64/1000000</f>
        <v>0</v>
      </c>
      <c r="G172" s="149">
        <f>SUM(B172:F172)</f>
        <v>1.0406023864881693</v>
      </c>
    </row>
    <row r="173" spans="1:7" ht="13" x14ac:dyDescent="0.25">
      <c r="A173" s="179" t="s">
        <v>168</v>
      </c>
      <c r="B173" s="180"/>
      <c r="C173" s="180"/>
      <c r="D173" s="180"/>
      <c r="E173" s="180"/>
      <c r="F173" s="180"/>
      <c r="G173" s="181"/>
    </row>
    <row r="174" spans="1:7" ht="15" customHeight="1" x14ac:dyDescent="0.25">
      <c r="A174" s="101" t="str">
        <f>A171</f>
        <v>2017 Bridge</v>
      </c>
      <c r="B174" s="150">
        <f>-B155/1000000</f>
        <v>-0.16600000000000001</v>
      </c>
      <c r="C174" s="150">
        <f t="shared" ref="C174:D175" si="31">-C155/1000000</f>
        <v>-4.1000000000000002E-2</v>
      </c>
      <c r="D174" s="150">
        <f t="shared" si="31"/>
        <v>-0.14649999999999999</v>
      </c>
      <c r="E174" s="150"/>
      <c r="F174" s="150"/>
      <c r="G174" s="150">
        <f>SUM(B174:F174)</f>
        <v>-0.35350000000000004</v>
      </c>
    </row>
    <row r="175" spans="1:7" x14ac:dyDescent="0.25">
      <c r="A175" s="101" t="str">
        <f>A172</f>
        <v>2018 Test</v>
      </c>
      <c r="B175" s="150">
        <f>-B156/1000000</f>
        <v>-0.498</v>
      </c>
      <c r="C175" s="150">
        <f t="shared" si="31"/>
        <v>-0.123</v>
      </c>
      <c r="D175" s="150">
        <f t="shared" si="31"/>
        <v>-0.433</v>
      </c>
      <c r="E175" s="150"/>
      <c r="F175" s="150"/>
      <c r="G175" s="150">
        <f>SUM(B175:F175)</f>
        <v>-1.054</v>
      </c>
    </row>
    <row r="176" spans="1:7" ht="13" x14ac:dyDescent="0.25">
      <c r="A176" s="179" t="s">
        <v>169</v>
      </c>
      <c r="B176" s="180"/>
      <c r="C176" s="180"/>
      <c r="D176" s="180"/>
      <c r="E176" s="180"/>
      <c r="F176" s="180"/>
      <c r="G176" s="181"/>
    </row>
    <row r="177" spans="1:7" x14ac:dyDescent="0.25">
      <c r="A177" s="107" t="str">
        <f>A174</f>
        <v>2017 Bridge</v>
      </c>
      <c r="B177" s="151">
        <f>B168+B171+B174</f>
        <v>33.524773252216704</v>
      </c>
      <c r="C177" s="151">
        <f t="shared" ref="C177:F178" si="32">C168+C171+C174</f>
        <v>12.143659082122358</v>
      </c>
      <c r="D177" s="151">
        <f t="shared" si="32"/>
        <v>26.945571540267501</v>
      </c>
      <c r="E177" s="151">
        <f t="shared" si="32"/>
        <v>0</v>
      </c>
      <c r="F177" s="151">
        <f t="shared" si="32"/>
        <v>0.15059695000000001</v>
      </c>
      <c r="G177" s="150">
        <f>SUM(B177:F177)</f>
        <v>72.764600824606561</v>
      </c>
    </row>
    <row r="178" spans="1:7" x14ac:dyDescent="0.25">
      <c r="A178" s="107" t="str">
        <f>A175</f>
        <v>2018 Test</v>
      </c>
      <c r="B178" s="151">
        <f>B169+B172+B175</f>
        <v>32.918745903764922</v>
      </c>
      <c r="C178" s="151">
        <f t="shared" si="32"/>
        <v>11.931507783663193</v>
      </c>
      <c r="D178" s="151">
        <f t="shared" si="32"/>
        <v>27.063250187178443</v>
      </c>
      <c r="E178" s="151">
        <f t="shared" si="32"/>
        <v>0</v>
      </c>
      <c r="F178" s="151">
        <f t="shared" si="32"/>
        <v>0.15059695000000001</v>
      </c>
      <c r="G178" s="150">
        <f>SUM(B178:F178)</f>
        <v>72.064100824606555</v>
      </c>
    </row>
    <row r="180" spans="1:7" ht="13" x14ac:dyDescent="0.25">
      <c r="A180" s="174" t="s">
        <v>170</v>
      </c>
      <c r="B180" s="174"/>
      <c r="C180" s="174"/>
      <c r="D180" s="174"/>
      <c r="E180" s="174"/>
      <c r="F180" s="174"/>
      <c r="G180" s="174"/>
    </row>
    <row r="181" spans="1:7" ht="26" x14ac:dyDescent="0.25">
      <c r="A181" s="103" t="s">
        <v>134</v>
      </c>
      <c r="B181" s="104" t="str">
        <f>D166</f>
        <v>GS&gt;50</v>
      </c>
      <c r="C181" s="104" t="str">
        <f t="shared" ref="C181" si="33">E166</f>
        <v>Street 
Lights</v>
      </c>
      <c r="D181" s="104" t="s">
        <v>10</v>
      </c>
      <c r="E181" s="104" t="str">
        <f>B181</f>
        <v>GS&gt;50</v>
      </c>
      <c r="F181" s="104" t="str">
        <f>C181</f>
        <v>Street 
Lights</v>
      </c>
      <c r="G181" s="104" t="str">
        <f>D181</f>
        <v>Total</v>
      </c>
    </row>
    <row r="182" spans="1:7" ht="13" x14ac:dyDescent="0.25">
      <c r="A182" s="166" t="s">
        <v>171</v>
      </c>
      <c r="B182" s="167"/>
      <c r="C182" s="167"/>
      <c r="D182" s="167"/>
      <c r="E182" s="167"/>
      <c r="F182" s="167"/>
      <c r="G182" s="168"/>
    </row>
    <row r="183" spans="1:7" ht="13" x14ac:dyDescent="0.25">
      <c r="A183" s="106"/>
      <c r="B183" s="176" t="s">
        <v>172</v>
      </c>
      <c r="C183" s="177"/>
      <c r="D183" s="178"/>
      <c r="E183" s="176" t="s">
        <v>173</v>
      </c>
      <c r="F183" s="177"/>
      <c r="G183" s="178"/>
    </row>
    <row r="184" spans="1:7" x14ac:dyDescent="0.25">
      <c r="A184" s="107">
        <f>'Rate Class Load Model'!A2</f>
        <v>2007</v>
      </c>
      <c r="B184" s="143">
        <f>'Rate Class Load Model'!B2</f>
        <v>105960</v>
      </c>
      <c r="C184" s="143">
        <f>'Rate Class Load Model'!C2</f>
        <v>1447</v>
      </c>
      <c r="D184" s="143">
        <f t="shared" ref="D184:D193" si="34">SUM(B184:C184)</f>
        <v>107407</v>
      </c>
      <c r="E184" s="143">
        <f>B184*F106</f>
        <v>106082.92657058327</v>
      </c>
      <c r="F184" s="143">
        <f>C184*F106</f>
        <v>1448.6786971275385</v>
      </c>
      <c r="G184" s="143">
        <f t="shared" ref="G184:G193" si="35">SUM(E184:F184)</f>
        <v>107531.60526771081</v>
      </c>
    </row>
    <row r="185" spans="1:7" x14ac:dyDescent="0.25">
      <c r="A185" s="107">
        <f>'Rate Class Load Model'!A3</f>
        <v>2008</v>
      </c>
      <c r="B185" s="143">
        <f>'Rate Class Load Model'!B3</f>
        <v>75100</v>
      </c>
      <c r="C185" s="143">
        <f>'Rate Class Load Model'!C3</f>
        <v>1445</v>
      </c>
      <c r="D185" s="143">
        <f t="shared" si="34"/>
        <v>76545</v>
      </c>
      <c r="E185" s="143">
        <f t="shared" ref="E185:E193" si="36">B185*F107</f>
        <v>72963.225426720717</v>
      </c>
      <c r="F185" s="143">
        <f t="shared" ref="F185:F193" si="37">C185*F107</f>
        <v>1403.8862948283813</v>
      </c>
      <c r="G185" s="143">
        <f t="shared" si="35"/>
        <v>74367.111721549096</v>
      </c>
    </row>
    <row r="186" spans="1:7" x14ac:dyDescent="0.25">
      <c r="A186" s="107">
        <f>'Rate Class Load Model'!A4</f>
        <v>2009</v>
      </c>
      <c r="B186" s="143">
        <f>'Rate Class Load Model'!B4</f>
        <v>56741</v>
      </c>
      <c r="C186" s="143">
        <f>'Rate Class Load Model'!C4</f>
        <v>1445</v>
      </c>
      <c r="D186" s="143">
        <f t="shared" si="34"/>
        <v>58186</v>
      </c>
      <c r="E186" s="143">
        <f t="shared" si="36"/>
        <v>56392.918349099782</v>
      </c>
      <c r="F186" s="143">
        <f t="shared" si="37"/>
        <v>1436.1355459799649</v>
      </c>
      <c r="G186" s="143">
        <f t="shared" si="35"/>
        <v>57829.053895079749</v>
      </c>
    </row>
    <row r="187" spans="1:7" x14ac:dyDescent="0.25">
      <c r="A187" s="107">
        <f>'Rate Class Load Model'!A5</f>
        <v>2010</v>
      </c>
      <c r="B187" s="143">
        <f>'Rate Class Load Model'!B5</f>
        <v>71492</v>
      </c>
      <c r="C187" s="143">
        <f>'Rate Class Load Model'!C5</f>
        <v>1448</v>
      </c>
      <c r="D187" s="143">
        <f t="shared" si="34"/>
        <v>72940</v>
      </c>
      <c r="E187" s="143">
        <f t="shared" si="36"/>
        <v>74867.777423178399</v>
      </c>
      <c r="F187" s="143">
        <f t="shared" si="37"/>
        <v>1516.3730446590152</v>
      </c>
      <c r="G187" s="143">
        <f t="shared" si="35"/>
        <v>76384.150467837419</v>
      </c>
    </row>
    <row r="188" spans="1:7" x14ac:dyDescent="0.25">
      <c r="A188" s="107">
        <f>'Rate Class Load Model'!A6</f>
        <v>2011</v>
      </c>
      <c r="B188" s="143">
        <f>'Rate Class Load Model'!B6</f>
        <v>66653.13</v>
      </c>
      <c r="C188" s="143">
        <f>'Rate Class Load Model'!C6</f>
        <v>1446</v>
      </c>
      <c r="D188" s="143">
        <f t="shared" si="34"/>
        <v>68099.13</v>
      </c>
      <c r="E188" s="143">
        <f t="shared" si="36"/>
        <v>67924.807407941204</v>
      </c>
      <c r="F188" s="143">
        <f t="shared" si="37"/>
        <v>1473.5882847794692</v>
      </c>
      <c r="G188" s="143">
        <f t="shared" si="35"/>
        <v>69398.395692720675</v>
      </c>
    </row>
    <row r="189" spans="1:7" x14ac:dyDescent="0.25">
      <c r="A189" s="107">
        <f>'Rate Class Load Model'!A7</f>
        <v>2012</v>
      </c>
      <c r="B189" s="143">
        <f>'Rate Class Load Model'!B7</f>
        <v>66215.44</v>
      </c>
      <c r="C189" s="143">
        <f>'Rate Class Load Model'!C7</f>
        <v>1446.63</v>
      </c>
      <c r="D189" s="143">
        <f t="shared" si="34"/>
        <v>67662.070000000007</v>
      </c>
      <c r="E189" s="143">
        <f t="shared" si="36"/>
        <v>70970.817650783283</v>
      </c>
      <c r="F189" s="143">
        <f t="shared" si="37"/>
        <v>1550.5222639637011</v>
      </c>
      <c r="G189" s="143">
        <f t="shared" si="35"/>
        <v>72521.33991474699</v>
      </c>
    </row>
    <row r="190" spans="1:7" x14ac:dyDescent="0.25">
      <c r="A190" s="107">
        <f>'Rate Class Load Model'!A8</f>
        <v>2013</v>
      </c>
      <c r="B190" s="143">
        <f>'Rate Class Load Model'!B8</f>
        <v>92251.04</v>
      </c>
      <c r="C190" s="143">
        <f>'Rate Class Load Model'!C8</f>
        <v>1449.81</v>
      </c>
      <c r="D190" s="143">
        <f t="shared" si="34"/>
        <v>93700.849999999991</v>
      </c>
      <c r="E190" s="143">
        <f t="shared" si="36"/>
        <v>87235.737518007954</v>
      </c>
      <c r="F190" s="143">
        <f t="shared" si="37"/>
        <v>1370.9899054903133</v>
      </c>
      <c r="G190" s="143">
        <f t="shared" si="35"/>
        <v>88606.727423498261</v>
      </c>
    </row>
    <row r="191" spans="1:7" x14ac:dyDescent="0.25">
      <c r="A191" s="107">
        <f>'Rate Class Load Model'!A9</f>
        <v>2014</v>
      </c>
      <c r="B191" s="143">
        <f>'Rate Class Load Model'!B9</f>
        <v>99287.98</v>
      </c>
      <c r="C191" s="143">
        <f>'Rate Class Load Model'!C9</f>
        <v>1453.61</v>
      </c>
      <c r="D191" s="143">
        <f t="shared" si="34"/>
        <v>100741.59</v>
      </c>
      <c r="E191" s="143">
        <f t="shared" si="36"/>
        <v>94537.811696363875</v>
      </c>
      <c r="F191" s="143">
        <f t="shared" si="37"/>
        <v>1384.0659106968585</v>
      </c>
      <c r="G191" s="143">
        <f t="shared" si="35"/>
        <v>95921.877607060727</v>
      </c>
    </row>
    <row r="192" spans="1:7" x14ac:dyDescent="0.25">
      <c r="A192" s="107">
        <f>'Rate Class Load Model'!A10</f>
        <v>2015</v>
      </c>
      <c r="B192" s="143">
        <f>'Rate Class Load Model'!B10</f>
        <v>94898.52</v>
      </c>
      <c r="C192" s="143">
        <f>'Rate Class Load Model'!C10</f>
        <v>1104.19</v>
      </c>
      <c r="D192" s="143">
        <f t="shared" si="34"/>
        <v>96002.71</v>
      </c>
      <c r="E192" s="143">
        <f t="shared" si="36"/>
        <v>95078.514106413495</v>
      </c>
      <c r="F192" s="143">
        <f t="shared" si="37"/>
        <v>1106.2843181449059</v>
      </c>
      <c r="G192" s="143">
        <f t="shared" si="35"/>
        <v>96184.798424558394</v>
      </c>
    </row>
    <row r="193" spans="1:19" x14ac:dyDescent="0.25">
      <c r="A193" s="107">
        <f>'Rate Class Load Model'!A11</f>
        <v>2016</v>
      </c>
      <c r="B193" s="143">
        <f>'Rate Class Load Model'!B11</f>
        <v>66975.05</v>
      </c>
      <c r="C193" s="143">
        <f>'Rate Class Load Model'!C11</f>
        <v>420.26</v>
      </c>
      <c r="D193" s="143">
        <f t="shared" si="34"/>
        <v>67395.31</v>
      </c>
      <c r="E193" s="143">
        <f t="shared" si="36"/>
        <v>68418.843867689313</v>
      </c>
      <c r="F193" s="143">
        <f t="shared" si="37"/>
        <v>429.31962460401462</v>
      </c>
      <c r="G193" s="143">
        <f t="shared" si="35"/>
        <v>68848.16349229333</v>
      </c>
    </row>
    <row r="194" spans="1:19" x14ac:dyDescent="0.25">
      <c r="A194" s="141"/>
      <c r="B194" s="140"/>
      <c r="C194" s="140"/>
      <c r="D194" s="140"/>
    </row>
    <row r="195" spans="1:19" ht="13" x14ac:dyDescent="0.25">
      <c r="H195" s="102" t="s">
        <v>198</v>
      </c>
      <c r="I195" s="102"/>
      <c r="J195" s="102"/>
      <c r="K195" s="142"/>
      <c r="L195" s="155"/>
    </row>
    <row r="196" spans="1:19" ht="54.75" customHeight="1" x14ac:dyDescent="0.25">
      <c r="H196" s="156" t="s">
        <v>174</v>
      </c>
      <c r="I196" s="190" t="s">
        <v>175</v>
      </c>
      <c r="J196" s="190"/>
      <c r="K196" s="105" t="s">
        <v>176</v>
      </c>
      <c r="L196" s="191" t="s">
        <v>177</v>
      </c>
      <c r="M196" s="191"/>
      <c r="N196" s="187" t="s">
        <v>178</v>
      </c>
      <c r="O196" s="187"/>
      <c r="P196" s="187" t="s">
        <v>179</v>
      </c>
      <c r="Q196" s="187"/>
      <c r="R196" s="187" t="s">
        <v>180</v>
      </c>
      <c r="S196" s="187"/>
    </row>
    <row r="197" spans="1:19" ht="19.5" customHeight="1" x14ac:dyDescent="0.25">
      <c r="H197" s="186" t="str">
        <f>F104</f>
        <v>Weather 
Normal Conversion 
Factor</v>
      </c>
      <c r="I197" s="186"/>
      <c r="J197" s="186"/>
      <c r="K197" s="186"/>
      <c r="L197" s="186"/>
      <c r="M197" s="186"/>
      <c r="N197" s="157">
        <f>F112</f>
        <v>0.94563419033550145</v>
      </c>
      <c r="O197" s="158"/>
      <c r="P197" s="187"/>
      <c r="Q197" s="187"/>
      <c r="R197" s="187"/>
      <c r="S197" s="187"/>
    </row>
    <row r="198" spans="1:19" ht="38" x14ac:dyDescent="0.3">
      <c r="H198" s="159"/>
      <c r="I198" s="100" t="s">
        <v>115</v>
      </c>
      <c r="J198" s="100" t="s">
        <v>187</v>
      </c>
      <c r="K198" s="160"/>
      <c r="L198" s="100" t="str">
        <f>I198</f>
        <v xml:space="preserve">2013 Actual </v>
      </c>
      <c r="M198" s="100" t="str">
        <f>J198</f>
        <v>2013 Board Approved</v>
      </c>
      <c r="N198" s="100" t="str">
        <f t="shared" ref="N198:S198" si="38">L198</f>
        <v xml:space="preserve">2013 Actual </v>
      </c>
      <c r="O198" s="100" t="str">
        <f t="shared" si="38"/>
        <v>2013 Board Approved</v>
      </c>
      <c r="P198" s="100" t="str">
        <f t="shared" si="38"/>
        <v xml:space="preserve">2013 Actual </v>
      </c>
      <c r="Q198" s="100" t="str">
        <f t="shared" si="38"/>
        <v>2013 Board Approved</v>
      </c>
      <c r="R198" s="100" t="str">
        <f t="shared" si="38"/>
        <v xml:space="preserve">2013 Actual </v>
      </c>
      <c r="S198" s="100" t="str">
        <f t="shared" si="38"/>
        <v>2013 Board Approved</v>
      </c>
    </row>
    <row r="199" spans="1:19" x14ac:dyDescent="0.25">
      <c r="H199" s="154" t="str">
        <f>Summary!A12</f>
        <v>Residential</v>
      </c>
      <c r="I199" s="152">
        <f>Summary!H13</f>
        <v>2346.25</v>
      </c>
      <c r="J199" s="152">
        <v>2323</v>
      </c>
      <c r="K199" s="153" t="s">
        <v>94</v>
      </c>
      <c r="L199" s="153">
        <f>Summary!H14</f>
        <v>36371058.950000003</v>
      </c>
      <c r="M199" s="153">
        <v>35413348.77556821</v>
      </c>
      <c r="N199" s="153">
        <f>L199*$N$197</f>
        <v>34393716.881828047</v>
      </c>
      <c r="O199" s="153">
        <f>M199</f>
        <v>35413348.77556821</v>
      </c>
      <c r="P199" s="153">
        <f>L199/I199</f>
        <v>15501.78324986681</v>
      </c>
      <c r="Q199" s="153">
        <f>M199/J199</f>
        <v>15244.661547812402</v>
      </c>
      <c r="R199" s="153">
        <f>N199/I199</f>
        <v>14659.016252244239</v>
      </c>
      <c r="S199" s="153">
        <f>O199/J199</f>
        <v>15244.661547812402</v>
      </c>
    </row>
    <row r="200" spans="1:19" x14ac:dyDescent="0.25">
      <c r="H200" s="154" t="str">
        <f>Summary!A16</f>
        <v>GS&lt;50</v>
      </c>
      <c r="I200" s="152">
        <f>Summary!H17</f>
        <v>400.08333333333331</v>
      </c>
      <c r="J200" s="152">
        <v>386</v>
      </c>
      <c r="K200" s="153" t="s">
        <v>94</v>
      </c>
      <c r="L200" s="161">
        <f>Summary!H18</f>
        <v>12926387.779999999</v>
      </c>
      <c r="M200" s="161">
        <v>13104862.953001358</v>
      </c>
      <c r="N200" s="153">
        <f t="shared" ref="N200:N203" si="39">L200*$N$197</f>
        <v>12223634.242303019</v>
      </c>
      <c r="O200" s="153">
        <f t="shared" ref="O200:O203" si="40">M200</f>
        <v>13104862.953001358</v>
      </c>
      <c r="P200" s="153">
        <f t="shared" ref="P200:Q203" si="41">L200/I200</f>
        <v>32309.238358675277</v>
      </c>
      <c r="Q200" s="153">
        <f t="shared" si="41"/>
        <v>33950.422158034606</v>
      </c>
      <c r="R200" s="153">
        <f t="shared" ref="R200:S203" si="42">N200/I200</f>
        <v>30552.72045566262</v>
      </c>
      <c r="S200" s="153">
        <f t="shared" si="42"/>
        <v>33950.422158034606</v>
      </c>
    </row>
    <row r="201" spans="1:19" x14ac:dyDescent="0.25">
      <c r="H201" s="154" t="str">
        <f>D166</f>
        <v>GS&gt;50</v>
      </c>
      <c r="I201" s="152">
        <f>Summary!H21</f>
        <v>53.083333333333336</v>
      </c>
      <c r="J201" s="152">
        <v>51</v>
      </c>
      <c r="K201" s="153" t="s">
        <v>95</v>
      </c>
      <c r="L201" s="161">
        <f>Summary!H23</f>
        <v>92251.04</v>
      </c>
      <c r="M201" s="161">
        <v>58142.749304645688</v>
      </c>
      <c r="N201" s="153">
        <f t="shared" si="39"/>
        <v>87235.737518007954</v>
      </c>
      <c r="O201" s="153">
        <f t="shared" si="40"/>
        <v>58142.749304645688</v>
      </c>
      <c r="P201" s="153">
        <f t="shared" si="41"/>
        <v>1737.8531868131865</v>
      </c>
      <c r="Q201" s="153">
        <f t="shared" si="41"/>
        <v>1140.0539079342291</v>
      </c>
      <c r="R201" s="153">
        <f t="shared" si="42"/>
        <v>1643.3733912340588</v>
      </c>
      <c r="S201" s="153">
        <f t="shared" si="42"/>
        <v>1140.0539079342291</v>
      </c>
    </row>
    <row r="202" spans="1:19" x14ac:dyDescent="0.25">
      <c r="H202" s="154" t="str">
        <f>E166</f>
        <v>Street 
Lights</v>
      </c>
      <c r="I202" s="152">
        <f>Summary!H26</f>
        <v>532</v>
      </c>
      <c r="J202" s="152">
        <v>531.25263219856038</v>
      </c>
      <c r="K202" s="153" t="s">
        <v>95</v>
      </c>
      <c r="L202" s="161">
        <f>Summary!H28</f>
        <v>1449.81</v>
      </c>
      <c r="M202" s="161">
        <v>1511.8790601917829</v>
      </c>
      <c r="N202" s="153">
        <f t="shared" si="39"/>
        <v>1370.9899054903133</v>
      </c>
      <c r="O202" s="153">
        <f t="shared" si="40"/>
        <v>1511.8790601917829</v>
      </c>
      <c r="P202" s="153">
        <f t="shared" si="41"/>
        <v>2.7252067669172932</v>
      </c>
      <c r="Q202" s="153">
        <f t="shared" si="41"/>
        <v>2.8458758951178327</v>
      </c>
      <c r="R202" s="153">
        <f t="shared" si="42"/>
        <v>2.5770486945306641</v>
      </c>
      <c r="S202" s="153">
        <f t="shared" si="42"/>
        <v>2.8458758951178327</v>
      </c>
    </row>
    <row r="203" spans="1:19" x14ac:dyDescent="0.25">
      <c r="H203" s="154" t="str">
        <f>F166</f>
        <v>Unmetered Scattered Load</v>
      </c>
      <c r="I203" s="152">
        <f>Summary!H31</f>
        <v>1</v>
      </c>
      <c r="J203" s="152">
        <v>2</v>
      </c>
      <c r="K203" s="153" t="s">
        <v>94</v>
      </c>
      <c r="L203" s="161">
        <f>Summary!H32</f>
        <v>2154</v>
      </c>
      <c r="M203" s="161">
        <v>11544.864921307926</v>
      </c>
      <c r="N203" s="153">
        <f t="shared" si="39"/>
        <v>2036.8960459826701</v>
      </c>
      <c r="O203" s="153">
        <f t="shared" si="40"/>
        <v>11544.864921307926</v>
      </c>
      <c r="P203" s="153">
        <f t="shared" si="41"/>
        <v>2154</v>
      </c>
      <c r="Q203" s="153">
        <f t="shared" si="41"/>
        <v>5772.4324606539631</v>
      </c>
      <c r="R203" s="153">
        <f t="shared" si="42"/>
        <v>2036.8960459826701</v>
      </c>
      <c r="S203" s="153">
        <f t="shared" si="42"/>
        <v>5772.4324606539631</v>
      </c>
    </row>
    <row r="204" spans="1:19" x14ac:dyDescent="0.25">
      <c r="H204" s="154" t="s">
        <v>10</v>
      </c>
      <c r="I204" s="152">
        <f>SUM(I199:I203)</f>
        <v>3332.416666666667</v>
      </c>
      <c r="J204" s="152">
        <f>SUM(J199:J203)</f>
        <v>3293.2526321985606</v>
      </c>
      <c r="K204" s="153"/>
      <c r="L204" s="161"/>
      <c r="M204" s="161"/>
      <c r="N204" s="161"/>
      <c r="O204" s="161"/>
      <c r="P204" s="161"/>
      <c r="Q204" s="161"/>
      <c r="R204" s="161"/>
      <c r="S204" s="161"/>
    </row>
    <row r="205" spans="1:19" x14ac:dyDescent="0.25">
      <c r="H205" s="99"/>
      <c r="I205" s="188" t="s">
        <v>182</v>
      </c>
      <c r="J205" s="188"/>
      <c r="K205" s="99"/>
      <c r="L205" s="188" t="s">
        <v>182</v>
      </c>
      <c r="M205" s="188"/>
      <c r="N205" s="189" t="s">
        <v>182</v>
      </c>
      <c r="O205" s="189"/>
      <c r="P205" s="189" t="s">
        <v>182</v>
      </c>
      <c r="Q205" s="189"/>
      <c r="R205" s="189" t="s">
        <v>182</v>
      </c>
      <c r="S205" s="189"/>
    </row>
    <row r="206" spans="1:19" x14ac:dyDescent="0.25">
      <c r="H206" s="162" t="str">
        <f>H199</f>
        <v>Residential</v>
      </c>
      <c r="I206" s="192">
        <f>J199-I199</f>
        <v>-23.25</v>
      </c>
      <c r="J206" s="192"/>
      <c r="K206" s="153" t="s">
        <v>94</v>
      </c>
      <c r="L206" s="192">
        <f>M199-L199</f>
        <v>-957710.17443179339</v>
      </c>
      <c r="M206" s="192"/>
      <c r="N206" s="192">
        <f>O199-N199</f>
        <v>1019631.8937401623</v>
      </c>
      <c r="O206" s="192"/>
      <c r="P206" s="192">
        <f>Q199-P199</f>
        <v>-257.12170205440816</v>
      </c>
      <c r="Q206" s="192"/>
      <c r="R206" s="192">
        <f>S199-R199</f>
        <v>585.64529556816342</v>
      </c>
      <c r="S206" s="192"/>
    </row>
    <row r="207" spans="1:19" x14ac:dyDescent="0.25">
      <c r="H207" s="162" t="str">
        <f>H200</f>
        <v>GS&lt;50</v>
      </c>
      <c r="I207" s="192">
        <f>J200-I200</f>
        <v>-14.083333333333314</v>
      </c>
      <c r="J207" s="192"/>
      <c r="K207" s="153" t="s">
        <v>94</v>
      </c>
      <c r="L207" s="192">
        <f>M200-L200</f>
        <v>178475.17300135829</v>
      </c>
      <c r="M207" s="192"/>
      <c r="N207" s="192">
        <f>O200-N200</f>
        <v>881228.71069833823</v>
      </c>
      <c r="O207" s="192"/>
      <c r="P207" s="192">
        <f>Q200-P200</f>
        <v>1641.183799359329</v>
      </c>
      <c r="Q207" s="192"/>
      <c r="R207" s="192">
        <f>S200-R200</f>
        <v>3397.7017023719854</v>
      </c>
      <c r="S207" s="192"/>
    </row>
    <row r="208" spans="1:19" x14ac:dyDescent="0.25">
      <c r="H208" s="162" t="str">
        <f>H201</f>
        <v>GS&gt;50</v>
      </c>
      <c r="I208" s="192">
        <f>J201-I201</f>
        <v>-2.0833333333333357</v>
      </c>
      <c r="J208" s="192"/>
      <c r="K208" s="153" t="s">
        <v>95</v>
      </c>
      <c r="L208" s="192">
        <f>M201-L201</f>
        <v>-34108.290695354306</v>
      </c>
      <c r="M208" s="192"/>
      <c r="N208" s="192">
        <f>O201-N201</f>
        <v>-29092.988213362267</v>
      </c>
      <c r="O208" s="192"/>
      <c r="P208" s="192">
        <f>Q201-P201</f>
        <v>-597.79927887895747</v>
      </c>
      <c r="Q208" s="192"/>
      <c r="R208" s="192">
        <f>S201-R201</f>
        <v>-503.3194832998297</v>
      </c>
      <c r="S208" s="192"/>
    </row>
    <row r="209" spans="8:19" x14ac:dyDescent="0.25">
      <c r="H209" s="162" t="str">
        <f>H202</f>
        <v>Street 
Lights</v>
      </c>
      <c r="I209" s="192">
        <f>J202-I202</f>
        <v>-0.74736780143962278</v>
      </c>
      <c r="J209" s="192"/>
      <c r="K209" s="153" t="s">
        <v>95</v>
      </c>
      <c r="L209" s="192">
        <f>M202-L202</f>
        <v>62.06906019178291</v>
      </c>
      <c r="M209" s="192"/>
      <c r="N209" s="192">
        <f>O202-N202</f>
        <v>140.88915470146958</v>
      </c>
      <c r="O209" s="192"/>
      <c r="P209" s="192">
        <f>Q202-P202</f>
        <v>0.12066912820053943</v>
      </c>
      <c r="Q209" s="192"/>
      <c r="R209" s="192">
        <f>S202-R202</f>
        <v>0.26882720058716858</v>
      </c>
      <c r="S209" s="192"/>
    </row>
    <row r="210" spans="8:19" x14ac:dyDescent="0.25">
      <c r="H210" s="162" t="str">
        <f>H203</f>
        <v>Unmetered Scattered Load</v>
      </c>
      <c r="I210" s="192">
        <f>J203-I203</f>
        <v>1</v>
      </c>
      <c r="J210" s="192"/>
      <c r="K210" s="153" t="s">
        <v>94</v>
      </c>
      <c r="L210" s="192">
        <f>M203-L203</f>
        <v>9390.8649213079261</v>
      </c>
      <c r="M210" s="192"/>
      <c r="N210" s="192">
        <f>O203-N203</f>
        <v>9507.9688753252558</v>
      </c>
      <c r="O210" s="192"/>
      <c r="P210" s="192">
        <f>Q203-P203</f>
        <v>3618.4324606539631</v>
      </c>
      <c r="Q210" s="192"/>
      <c r="R210" s="192">
        <f>S203-R203</f>
        <v>3735.5364146712927</v>
      </c>
      <c r="S210" s="192"/>
    </row>
    <row r="212" spans="8:19" ht="13" x14ac:dyDescent="0.25">
      <c r="H212" s="102" t="s">
        <v>199</v>
      </c>
      <c r="I212" s="102"/>
      <c r="J212" s="102"/>
      <c r="K212" s="142"/>
      <c r="L212" s="155"/>
    </row>
    <row r="213" spans="8:19" ht="48" customHeight="1" x14ac:dyDescent="0.25">
      <c r="H213" s="156" t="s">
        <v>174</v>
      </c>
      <c r="I213" s="190" t="s">
        <v>175</v>
      </c>
      <c r="J213" s="190"/>
      <c r="K213" s="105" t="s">
        <v>176</v>
      </c>
      <c r="L213" s="191" t="s">
        <v>177</v>
      </c>
      <c r="M213" s="191"/>
      <c r="N213" s="187" t="s">
        <v>178</v>
      </c>
      <c r="O213" s="187"/>
      <c r="P213" s="187" t="s">
        <v>179</v>
      </c>
      <c r="Q213" s="187"/>
      <c r="R213" s="187" t="s">
        <v>180</v>
      </c>
      <c r="S213" s="187"/>
    </row>
    <row r="214" spans="8:19" ht="13" x14ac:dyDescent="0.25">
      <c r="H214" s="186" t="str">
        <f>H197</f>
        <v>Weather 
Normal Conversion 
Factor</v>
      </c>
      <c r="I214" s="186"/>
      <c r="J214" s="186"/>
      <c r="K214" s="186"/>
      <c r="L214" s="186"/>
      <c r="M214" s="186"/>
      <c r="N214" s="157">
        <f>F111</f>
        <v>1.0718167492473549</v>
      </c>
      <c r="O214" s="157">
        <f>N197</f>
        <v>0.94563419033550145</v>
      </c>
      <c r="P214" s="187"/>
      <c r="Q214" s="187"/>
      <c r="R214" s="187"/>
      <c r="S214" s="187"/>
    </row>
    <row r="215" spans="8:19" ht="25.5" x14ac:dyDescent="0.3">
      <c r="H215" s="159"/>
      <c r="I215" s="100" t="s">
        <v>181</v>
      </c>
      <c r="J215" s="100" t="str">
        <f t="shared" ref="J215:J220" si="43">I198</f>
        <v xml:space="preserve">2013 Actual </v>
      </c>
      <c r="K215" s="160"/>
      <c r="L215" s="100" t="str">
        <f>I215</f>
        <v>2012 Actual</v>
      </c>
      <c r="M215" s="100" t="str">
        <f>J215</f>
        <v xml:space="preserve">2013 Actual </v>
      </c>
      <c r="N215" s="100" t="str">
        <f>L215</f>
        <v>2012 Actual</v>
      </c>
      <c r="O215" s="100" t="str">
        <f>M215</f>
        <v xml:space="preserve">2013 Actual </v>
      </c>
      <c r="P215" s="100" t="str">
        <f>L215</f>
        <v>2012 Actual</v>
      </c>
      <c r="Q215" s="100" t="str">
        <f>M215</f>
        <v xml:space="preserve">2013 Actual </v>
      </c>
      <c r="R215" s="100" t="str">
        <f>N215</f>
        <v>2012 Actual</v>
      </c>
      <c r="S215" s="100" t="str">
        <f>O215</f>
        <v xml:space="preserve">2013 Actual </v>
      </c>
    </row>
    <row r="216" spans="8:19" x14ac:dyDescent="0.25">
      <c r="H216" s="154" t="str">
        <f>H199</f>
        <v>Residential</v>
      </c>
      <c r="I216" s="152">
        <f>Summary!G13</f>
        <v>2344.25</v>
      </c>
      <c r="J216" s="152">
        <f t="shared" si="43"/>
        <v>2346.25</v>
      </c>
      <c r="K216" s="153" t="str">
        <f>K206</f>
        <v>kWh</v>
      </c>
      <c r="L216" s="153">
        <f>Summary!G14</f>
        <v>32285777.940000001</v>
      </c>
      <c r="M216" s="152">
        <f>L199</f>
        <v>36371058.950000003</v>
      </c>
      <c r="N216" s="153">
        <f>L216*$N$214</f>
        <v>34604437.558572762</v>
      </c>
      <c r="O216" s="152">
        <f>N199</f>
        <v>34393716.881828047</v>
      </c>
      <c r="P216" s="153">
        <f>L216/I216</f>
        <v>13772.327157939641</v>
      </c>
      <c r="Q216" s="153">
        <f>M216/J216</f>
        <v>15501.78324986681</v>
      </c>
      <c r="R216" s="153">
        <f>N216/I216</f>
        <v>14761.410923993926</v>
      </c>
      <c r="S216" s="153">
        <f>O216/J216</f>
        <v>14659.016252244239</v>
      </c>
    </row>
    <row r="217" spans="8:19" x14ac:dyDescent="0.25">
      <c r="H217" s="154" t="str">
        <f>H200</f>
        <v>GS&lt;50</v>
      </c>
      <c r="I217" s="152">
        <f>Summary!G17</f>
        <v>394.75</v>
      </c>
      <c r="J217" s="152">
        <f t="shared" si="43"/>
        <v>400.08333333333331</v>
      </c>
      <c r="K217" s="153" t="str">
        <f>K207</f>
        <v>kWh</v>
      </c>
      <c r="L217" s="161">
        <f>Summary!G18</f>
        <v>11883434.99</v>
      </c>
      <c r="M217" s="152">
        <f>L200</f>
        <v>12926387.779999999</v>
      </c>
      <c r="N217" s="153">
        <f t="shared" ref="N217:N220" si="44">L217*$N$214</f>
        <v>12736864.660874074</v>
      </c>
      <c r="O217" s="152">
        <f>N200</f>
        <v>12223634.242303019</v>
      </c>
      <c r="P217" s="153">
        <f t="shared" ref="P217:Q220" si="45">L217/I217</f>
        <v>30103.698518049398</v>
      </c>
      <c r="Q217" s="153">
        <f t="shared" si="45"/>
        <v>32309.238358675277</v>
      </c>
      <c r="R217" s="153">
        <f t="shared" ref="R217:S220" si="46">N217/I217</f>
        <v>32265.648285938125</v>
      </c>
      <c r="S217" s="153">
        <f t="shared" si="46"/>
        <v>30552.72045566262</v>
      </c>
    </row>
    <row r="218" spans="8:19" x14ac:dyDescent="0.25">
      <c r="H218" s="154" t="str">
        <f>H201</f>
        <v>GS&gt;50</v>
      </c>
      <c r="I218" s="152">
        <f>Summary!G21</f>
        <v>51.75</v>
      </c>
      <c r="J218" s="152">
        <f t="shared" si="43"/>
        <v>53.083333333333336</v>
      </c>
      <c r="K218" s="153" t="str">
        <f>K208</f>
        <v>kW</v>
      </c>
      <c r="L218" s="161">
        <f>Summary!G23</f>
        <v>66215.44</v>
      </c>
      <c r="M218" s="152">
        <f>L201</f>
        <v>92251.04</v>
      </c>
      <c r="N218" s="153">
        <f t="shared" si="44"/>
        <v>70970.817650783283</v>
      </c>
      <c r="O218" s="152">
        <f>N201</f>
        <v>87235.737518007954</v>
      </c>
      <c r="P218" s="153">
        <f t="shared" si="45"/>
        <v>1279.5254106280195</v>
      </c>
      <c r="Q218" s="153">
        <f t="shared" si="45"/>
        <v>1737.8531868131865</v>
      </c>
      <c r="R218" s="153">
        <f t="shared" si="46"/>
        <v>1371.4167661987108</v>
      </c>
      <c r="S218" s="153">
        <f t="shared" si="46"/>
        <v>1643.3733912340588</v>
      </c>
    </row>
    <row r="219" spans="8:19" x14ac:dyDescent="0.25">
      <c r="H219" s="154" t="str">
        <f>H202</f>
        <v>Street 
Lights</v>
      </c>
      <c r="I219" s="152">
        <f>Summary!H26</f>
        <v>532</v>
      </c>
      <c r="J219" s="152">
        <f t="shared" si="43"/>
        <v>532</v>
      </c>
      <c r="K219" s="153" t="str">
        <f>K209</f>
        <v>kW</v>
      </c>
      <c r="L219" s="161">
        <f>Summary!G28</f>
        <v>1446.63</v>
      </c>
      <c r="M219" s="152">
        <f>L202</f>
        <v>1449.81</v>
      </c>
      <c r="N219" s="153">
        <f t="shared" si="44"/>
        <v>1550.5222639637011</v>
      </c>
      <c r="O219" s="152">
        <f>N202</f>
        <v>1370.9899054903133</v>
      </c>
      <c r="P219" s="153">
        <f t="shared" si="45"/>
        <v>2.7192293233082707</v>
      </c>
      <c r="Q219" s="153">
        <f t="shared" si="45"/>
        <v>2.7252067669172932</v>
      </c>
      <c r="R219" s="153">
        <f t="shared" si="46"/>
        <v>2.9145155337663553</v>
      </c>
      <c r="S219" s="153">
        <f t="shared" si="46"/>
        <v>2.5770486945306641</v>
      </c>
    </row>
    <row r="220" spans="8:19" x14ac:dyDescent="0.25">
      <c r="H220" s="154" t="str">
        <f>H203</f>
        <v>Unmetered Scattered Load</v>
      </c>
      <c r="I220" s="152">
        <f>Summary!D31</f>
        <v>13</v>
      </c>
      <c r="J220" s="152">
        <f t="shared" si="43"/>
        <v>1</v>
      </c>
      <c r="K220" s="153" t="str">
        <f>K210</f>
        <v>kWh</v>
      </c>
      <c r="L220" s="161">
        <f>Summary!G32</f>
        <v>4704.6000000000004</v>
      </c>
      <c r="M220" s="152">
        <f>L203</f>
        <v>2154</v>
      </c>
      <c r="N220" s="153">
        <f t="shared" si="44"/>
        <v>5042.4690785091061</v>
      </c>
      <c r="O220" s="152">
        <f>N203</f>
        <v>2036.8960459826701</v>
      </c>
      <c r="P220" s="153">
        <f t="shared" si="45"/>
        <v>361.89230769230772</v>
      </c>
      <c r="Q220" s="153">
        <f t="shared" si="45"/>
        <v>2154</v>
      </c>
      <c r="R220" s="153">
        <f t="shared" si="46"/>
        <v>387.8822368083928</v>
      </c>
      <c r="S220" s="153">
        <f t="shared" si="46"/>
        <v>2036.8960459826701</v>
      </c>
    </row>
    <row r="221" spans="8:19" x14ac:dyDescent="0.25">
      <c r="H221" s="154" t="s">
        <v>10</v>
      </c>
      <c r="I221" s="152">
        <f>SUM(I216:I220)</f>
        <v>3335.75</v>
      </c>
      <c r="J221" s="152">
        <f>SUM(J216:J220)</f>
        <v>3332.416666666667</v>
      </c>
      <c r="K221" s="153"/>
      <c r="L221" s="161"/>
      <c r="M221" s="161"/>
      <c r="N221" s="161"/>
      <c r="O221" s="161"/>
      <c r="P221" s="161"/>
      <c r="Q221" s="161"/>
      <c r="R221" s="161"/>
      <c r="S221" s="161"/>
    </row>
    <row r="222" spans="8:19" x14ac:dyDescent="0.25">
      <c r="H222" s="99"/>
      <c r="I222" s="188" t="s">
        <v>182</v>
      </c>
      <c r="J222" s="188"/>
      <c r="K222" s="99"/>
      <c r="L222" s="188" t="s">
        <v>182</v>
      </c>
      <c r="M222" s="188"/>
      <c r="N222" s="188" t="s">
        <v>182</v>
      </c>
      <c r="O222" s="188"/>
      <c r="P222" s="188" t="s">
        <v>182</v>
      </c>
      <c r="Q222" s="188"/>
      <c r="R222" s="188" t="s">
        <v>182</v>
      </c>
      <c r="S222" s="188"/>
    </row>
    <row r="223" spans="8:19" x14ac:dyDescent="0.25">
      <c r="H223" s="162" t="str">
        <f>H216</f>
        <v>Residential</v>
      </c>
      <c r="I223" s="192">
        <f>J216-I216</f>
        <v>2</v>
      </c>
      <c r="J223" s="192"/>
      <c r="K223" s="153" t="str">
        <f>K216</f>
        <v>kWh</v>
      </c>
      <c r="L223" s="192">
        <f>M216-L216</f>
        <v>4085281.0100000016</v>
      </c>
      <c r="M223" s="192"/>
      <c r="N223" s="192">
        <f>O216-N216</f>
        <v>-210720.67674471438</v>
      </c>
      <c r="O223" s="192"/>
      <c r="P223" s="192">
        <f>Q216-P216</f>
        <v>1729.4560919271698</v>
      </c>
      <c r="Q223" s="192"/>
      <c r="R223" s="192">
        <f>S216-R216</f>
        <v>-102.3946717496874</v>
      </c>
      <c r="S223" s="192"/>
    </row>
    <row r="224" spans="8:19" x14ac:dyDescent="0.25">
      <c r="H224" s="162" t="str">
        <f>H217</f>
        <v>GS&lt;50</v>
      </c>
      <c r="I224" s="192">
        <f>J217-I217</f>
        <v>5.3333333333333144</v>
      </c>
      <c r="J224" s="192"/>
      <c r="K224" s="153" t="str">
        <f>K217</f>
        <v>kWh</v>
      </c>
      <c r="L224" s="192">
        <f>M217-L217</f>
        <v>1042952.7899999991</v>
      </c>
      <c r="M224" s="192"/>
      <c r="N224" s="192">
        <f>O217-N217</f>
        <v>-513230.41857105494</v>
      </c>
      <c r="O224" s="192"/>
      <c r="P224" s="192">
        <f>Q217-P217</f>
        <v>2205.5398406258792</v>
      </c>
      <c r="Q224" s="192"/>
      <c r="R224" s="192">
        <f>S217-R217</f>
        <v>-1712.9278302755047</v>
      </c>
      <c r="S224" s="192"/>
    </row>
    <row r="225" spans="8:19" x14ac:dyDescent="0.25">
      <c r="H225" s="162" t="str">
        <f>H218</f>
        <v>GS&gt;50</v>
      </c>
      <c r="I225" s="192">
        <f>J218-I218</f>
        <v>1.3333333333333357</v>
      </c>
      <c r="J225" s="192"/>
      <c r="K225" s="153" t="str">
        <f>K218</f>
        <v>kW</v>
      </c>
      <c r="L225" s="192">
        <f>M218-L218</f>
        <v>26035.599999999991</v>
      </c>
      <c r="M225" s="192"/>
      <c r="N225" s="192">
        <f>O218-N218</f>
        <v>16264.919867224671</v>
      </c>
      <c r="O225" s="192"/>
      <c r="P225" s="192">
        <f>Q218-P218</f>
        <v>458.32777618516707</v>
      </c>
      <c r="Q225" s="192"/>
      <c r="R225" s="192">
        <f>S218-R218</f>
        <v>271.956625035348</v>
      </c>
      <c r="S225" s="192"/>
    </row>
    <row r="226" spans="8:19" x14ac:dyDescent="0.25">
      <c r="H226" s="162" t="str">
        <f>H219</f>
        <v>Street 
Lights</v>
      </c>
      <c r="I226" s="192">
        <f>J219-I219</f>
        <v>0</v>
      </c>
      <c r="J226" s="192"/>
      <c r="K226" s="153" t="str">
        <f>K219</f>
        <v>kW</v>
      </c>
      <c r="L226" s="192">
        <f>M219-L219</f>
        <v>3.1799999999998363</v>
      </c>
      <c r="M226" s="192"/>
      <c r="N226" s="192">
        <f>O219-N219</f>
        <v>-179.53235847338783</v>
      </c>
      <c r="O226" s="192"/>
      <c r="P226" s="192">
        <f>Q219-P219</f>
        <v>5.9774436090225258E-3</v>
      </c>
      <c r="Q226" s="192"/>
      <c r="R226" s="192">
        <f>S219-R219</f>
        <v>-0.33746683923569121</v>
      </c>
      <c r="S226" s="192"/>
    </row>
    <row r="227" spans="8:19" x14ac:dyDescent="0.25">
      <c r="H227" s="162" t="str">
        <f>H220</f>
        <v>Unmetered Scattered Load</v>
      </c>
      <c r="I227" s="192">
        <f>J220-I220</f>
        <v>-12</v>
      </c>
      <c r="J227" s="192"/>
      <c r="K227" s="153" t="str">
        <f>K220</f>
        <v>kWh</v>
      </c>
      <c r="L227" s="192">
        <f>M220-L220</f>
        <v>-2550.6000000000004</v>
      </c>
      <c r="M227" s="192"/>
      <c r="N227" s="192">
        <f>O220-N220</f>
        <v>-3005.5730325264358</v>
      </c>
      <c r="O227" s="192"/>
      <c r="P227" s="192">
        <f>Q220-P220</f>
        <v>1792.1076923076923</v>
      </c>
      <c r="Q227" s="192"/>
      <c r="R227" s="192">
        <f>S220-R220</f>
        <v>1649.0138091742774</v>
      </c>
      <c r="S227" s="192"/>
    </row>
    <row r="229" spans="8:19" ht="13" x14ac:dyDescent="0.25">
      <c r="H229" s="102" t="s">
        <v>200</v>
      </c>
      <c r="I229" s="102"/>
      <c r="J229" s="102"/>
      <c r="K229" s="142"/>
      <c r="L229" s="155"/>
    </row>
    <row r="230" spans="8:19" ht="13" x14ac:dyDescent="0.25">
      <c r="H230" s="156" t="s">
        <v>174</v>
      </c>
      <c r="I230" s="190" t="s">
        <v>175</v>
      </c>
      <c r="J230" s="190"/>
      <c r="K230" s="105" t="s">
        <v>176</v>
      </c>
      <c r="L230" s="191" t="s">
        <v>177</v>
      </c>
      <c r="M230" s="191"/>
      <c r="N230" s="187" t="s">
        <v>178</v>
      </c>
      <c r="O230" s="187"/>
      <c r="P230" s="187" t="s">
        <v>179</v>
      </c>
      <c r="Q230" s="187"/>
      <c r="R230" s="187" t="s">
        <v>180</v>
      </c>
      <c r="S230" s="187"/>
    </row>
    <row r="231" spans="8:19" ht="13" x14ac:dyDescent="0.25">
      <c r="H231" s="186" t="str">
        <f>H214</f>
        <v>Weather 
Normal Conversion 
Factor</v>
      </c>
      <c r="I231" s="186"/>
      <c r="J231" s="186"/>
      <c r="K231" s="186"/>
      <c r="L231" s="186"/>
      <c r="M231" s="186"/>
      <c r="N231" s="157">
        <f>O214</f>
        <v>0.94563419033550145</v>
      </c>
      <c r="O231" s="157">
        <f>F113</f>
        <v>0.95215767000561269</v>
      </c>
      <c r="P231" s="187"/>
      <c r="Q231" s="187"/>
      <c r="R231" s="187"/>
      <c r="S231" s="187"/>
    </row>
    <row r="232" spans="8:19" ht="25.5" x14ac:dyDescent="0.3">
      <c r="H232" s="159"/>
      <c r="I232" s="100" t="str">
        <f t="shared" ref="I232:I237" si="47">J215</f>
        <v xml:space="preserve">2013 Actual </v>
      </c>
      <c r="J232" s="100" t="s">
        <v>124</v>
      </c>
      <c r="K232" s="160"/>
      <c r="L232" s="100" t="str">
        <f>I232</f>
        <v xml:space="preserve">2013 Actual </v>
      </c>
      <c r="M232" s="100" t="str">
        <f>J232</f>
        <v xml:space="preserve">2014 Actual </v>
      </c>
      <c r="N232" s="100" t="str">
        <f>L232</f>
        <v xml:space="preserve">2013 Actual </v>
      </c>
      <c r="O232" s="100" t="str">
        <f>M232</f>
        <v xml:space="preserve">2014 Actual </v>
      </c>
      <c r="P232" s="100" t="str">
        <f>L232</f>
        <v xml:space="preserve">2013 Actual </v>
      </c>
      <c r="Q232" s="100" t="str">
        <f>M232</f>
        <v xml:space="preserve">2014 Actual </v>
      </c>
      <c r="R232" s="100" t="str">
        <f>N232</f>
        <v xml:space="preserve">2013 Actual </v>
      </c>
      <c r="S232" s="100" t="str">
        <f>O232</f>
        <v xml:space="preserve">2014 Actual </v>
      </c>
    </row>
    <row r="233" spans="8:19" x14ac:dyDescent="0.25">
      <c r="H233" s="154" t="str">
        <f>H216</f>
        <v>Residential</v>
      </c>
      <c r="I233" s="152">
        <f t="shared" si="47"/>
        <v>2346.25</v>
      </c>
      <c r="J233" s="152">
        <f>Summary!I13</f>
        <v>2355.8333333333335</v>
      </c>
      <c r="K233" s="153" t="str">
        <f>K223</f>
        <v>kWh</v>
      </c>
      <c r="L233" s="152">
        <f>M216</f>
        <v>36371058.950000003</v>
      </c>
      <c r="M233" s="152">
        <f>Summary!I14</f>
        <v>37207390.200000003</v>
      </c>
      <c r="N233" s="153">
        <f>L233*$N$231</f>
        <v>34393716.881828047</v>
      </c>
      <c r="O233" s="152">
        <f>M233*$O$231</f>
        <v>35427301.959821671</v>
      </c>
      <c r="P233" s="153">
        <f>L233/I233</f>
        <v>15501.78324986681</v>
      </c>
      <c r="Q233" s="153">
        <f>M233/J233</f>
        <v>15793.727711354793</v>
      </c>
      <c r="R233" s="153">
        <f>N233/I233</f>
        <v>14659.016252244239</v>
      </c>
      <c r="S233" s="153">
        <f>O233/J233</f>
        <v>15038.118978346658</v>
      </c>
    </row>
    <row r="234" spans="8:19" x14ac:dyDescent="0.25">
      <c r="H234" s="154" t="str">
        <f>H217</f>
        <v>GS&lt;50</v>
      </c>
      <c r="I234" s="152">
        <f t="shared" si="47"/>
        <v>400.08333333333331</v>
      </c>
      <c r="J234" s="152">
        <f>Summary!I17</f>
        <v>403.91666666666669</v>
      </c>
      <c r="K234" s="153" t="str">
        <f>K224</f>
        <v>kWh</v>
      </c>
      <c r="L234" s="152">
        <f>M217</f>
        <v>12926387.779999999</v>
      </c>
      <c r="M234" s="152">
        <f>Summary!I18</f>
        <v>13500465.83</v>
      </c>
      <c r="N234" s="153">
        <f t="shared" ref="N234:N237" si="48">L234*$N$231</f>
        <v>12223634.242303019</v>
      </c>
      <c r="O234" s="152">
        <f t="shared" ref="O234:O237" si="49">M234*$O$231</f>
        <v>12854572.08868319</v>
      </c>
      <c r="P234" s="153">
        <f t="shared" ref="P234:Q237" si="50">L234/I234</f>
        <v>32309.238358675277</v>
      </c>
      <c r="Q234" s="153">
        <f t="shared" si="50"/>
        <v>33423.888995254798</v>
      </c>
      <c r="R234" s="153">
        <f t="shared" ref="R234:S237" si="51">N234/I234</f>
        <v>30552.72045566262</v>
      </c>
      <c r="S234" s="153">
        <f t="shared" si="51"/>
        <v>31824.812268248043</v>
      </c>
    </row>
    <row r="235" spans="8:19" x14ac:dyDescent="0.25">
      <c r="H235" s="154" t="str">
        <f>H218</f>
        <v>GS&gt;50</v>
      </c>
      <c r="I235" s="152">
        <f t="shared" si="47"/>
        <v>53.083333333333336</v>
      </c>
      <c r="J235" s="152">
        <f>Summary!I21</f>
        <v>52.166666666666664</v>
      </c>
      <c r="K235" s="153" t="str">
        <f>K225</f>
        <v>kW</v>
      </c>
      <c r="L235" s="152">
        <f>M218</f>
        <v>92251.04</v>
      </c>
      <c r="M235" s="152">
        <f>Summary!I23</f>
        <v>99287.98</v>
      </c>
      <c r="N235" s="153">
        <f t="shared" si="48"/>
        <v>87235.737518007954</v>
      </c>
      <c r="O235" s="152">
        <f t="shared" si="49"/>
        <v>94537.811696363875</v>
      </c>
      <c r="P235" s="153">
        <f t="shared" si="50"/>
        <v>1737.8531868131865</v>
      </c>
      <c r="Q235" s="153">
        <f t="shared" si="50"/>
        <v>1903.2839616613419</v>
      </c>
      <c r="R235" s="153">
        <f t="shared" si="51"/>
        <v>1643.3733912340588</v>
      </c>
      <c r="S235" s="153">
        <f t="shared" si="51"/>
        <v>1812.2264222945153</v>
      </c>
    </row>
    <row r="236" spans="8:19" x14ac:dyDescent="0.25">
      <c r="H236" s="154" t="str">
        <f>H219</f>
        <v>Street 
Lights</v>
      </c>
      <c r="I236" s="152">
        <f t="shared" si="47"/>
        <v>532</v>
      </c>
      <c r="J236" s="152">
        <f>Summary!I26</f>
        <v>534</v>
      </c>
      <c r="K236" s="153" t="str">
        <f>K226</f>
        <v>kW</v>
      </c>
      <c r="L236" s="152">
        <f>M219</f>
        <v>1449.81</v>
      </c>
      <c r="M236" s="152">
        <f>Summary!I28</f>
        <v>1453.61</v>
      </c>
      <c r="N236" s="153">
        <f t="shared" si="48"/>
        <v>1370.9899054903133</v>
      </c>
      <c r="O236" s="152">
        <f t="shared" si="49"/>
        <v>1384.0659106968585</v>
      </c>
      <c r="P236" s="153">
        <f t="shared" si="50"/>
        <v>2.7252067669172932</v>
      </c>
      <c r="Q236" s="153">
        <f t="shared" si="50"/>
        <v>2.7221161048689138</v>
      </c>
      <c r="R236" s="153">
        <f t="shared" si="51"/>
        <v>2.5770486945306641</v>
      </c>
      <c r="S236" s="153">
        <f t="shared" si="51"/>
        <v>2.5918837278967386</v>
      </c>
    </row>
    <row r="237" spans="8:19" x14ac:dyDescent="0.25">
      <c r="H237" s="154" t="str">
        <f>H220</f>
        <v>Unmetered Scattered Load</v>
      </c>
      <c r="I237" s="152">
        <f t="shared" si="47"/>
        <v>1</v>
      </c>
      <c r="J237" s="152">
        <f>Summary!I31</f>
        <v>1</v>
      </c>
      <c r="K237" s="153" t="str">
        <f>K227</f>
        <v>kWh</v>
      </c>
      <c r="L237" s="152">
        <f>M220</f>
        <v>2154</v>
      </c>
      <c r="M237" s="152">
        <f>Summary!I32</f>
        <v>2235</v>
      </c>
      <c r="N237" s="153">
        <f t="shared" si="48"/>
        <v>2036.8960459826701</v>
      </c>
      <c r="O237" s="152">
        <f t="shared" si="49"/>
        <v>2128.0723924625445</v>
      </c>
      <c r="P237" s="153">
        <f t="shared" si="50"/>
        <v>2154</v>
      </c>
      <c r="Q237" s="153">
        <f t="shared" si="50"/>
        <v>2235</v>
      </c>
      <c r="R237" s="153">
        <f t="shared" si="51"/>
        <v>2036.8960459826701</v>
      </c>
      <c r="S237" s="153">
        <f t="shared" si="51"/>
        <v>2128.0723924625445</v>
      </c>
    </row>
    <row r="238" spans="8:19" x14ac:dyDescent="0.25">
      <c r="H238" s="154" t="s">
        <v>10</v>
      </c>
      <c r="I238" s="152">
        <f>SUM(I233:I237)</f>
        <v>3332.416666666667</v>
      </c>
      <c r="J238" s="152">
        <f>SUM(J233:J237)</f>
        <v>3346.9166666666665</v>
      </c>
      <c r="K238" s="153"/>
      <c r="L238" s="161"/>
      <c r="M238" s="161"/>
      <c r="N238" s="161"/>
      <c r="O238" s="161"/>
      <c r="P238" s="161"/>
      <c r="Q238" s="161"/>
      <c r="R238" s="161"/>
      <c r="S238" s="161"/>
    </row>
    <row r="239" spans="8:19" x14ac:dyDescent="0.25">
      <c r="H239" s="99"/>
      <c r="I239" s="188" t="s">
        <v>182</v>
      </c>
      <c r="J239" s="188"/>
      <c r="K239" s="99"/>
      <c r="L239" s="188" t="s">
        <v>182</v>
      </c>
      <c r="M239" s="188"/>
      <c r="N239" s="188" t="s">
        <v>182</v>
      </c>
      <c r="O239" s="188"/>
      <c r="P239" s="188" t="s">
        <v>182</v>
      </c>
      <c r="Q239" s="188"/>
      <c r="R239" s="188" t="s">
        <v>182</v>
      </c>
      <c r="S239" s="188"/>
    </row>
    <row r="240" spans="8:19" x14ac:dyDescent="0.25">
      <c r="H240" s="162" t="str">
        <f>H233</f>
        <v>Residential</v>
      </c>
      <c r="I240" s="192">
        <f>J233-I233</f>
        <v>9.5833333333334849</v>
      </c>
      <c r="J240" s="192"/>
      <c r="K240" s="153" t="str">
        <f>K233</f>
        <v>kWh</v>
      </c>
      <c r="L240" s="192">
        <f>M233-L233</f>
        <v>836331.25</v>
      </c>
      <c r="M240" s="192"/>
      <c r="N240" s="192">
        <f>O233-N233</f>
        <v>1033585.0779936239</v>
      </c>
      <c r="O240" s="192"/>
      <c r="P240" s="192">
        <f>Q233-P233</f>
        <v>291.94446148798306</v>
      </c>
      <c r="Q240" s="192"/>
      <c r="R240" s="192">
        <f>S233-R233</f>
        <v>379.10272610241918</v>
      </c>
      <c r="S240" s="192"/>
    </row>
    <row r="241" spans="8:19" x14ac:dyDescent="0.25">
      <c r="H241" s="162" t="str">
        <f>H234</f>
        <v>GS&lt;50</v>
      </c>
      <c r="I241" s="192">
        <f>J234-I234</f>
        <v>3.8333333333333712</v>
      </c>
      <c r="J241" s="192"/>
      <c r="K241" s="153" t="str">
        <f>K234</f>
        <v>kWh</v>
      </c>
      <c r="L241" s="192">
        <f>M234-L234</f>
        <v>574078.05000000075</v>
      </c>
      <c r="M241" s="192"/>
      <c r="N241" s="192">
        <f>O234-N234</f>
        <v>630937.84638017043</v>
      </c>
      <c r="O241" s="192"/>
      <c r="P241" s="192">
        <f>Q234-P234</f>
        <v>1114.6506365795212</v>
      </c>
      <c r="Q241" s="192"/>
      <c r="R241" s="192">
        <f>S234-R234</f>
        <v>1272.0918125854223</v>
      </c>
      <c r="S241" s="192"/>
    </row>
    <row r="242" spans="8:19" x14ac:dyDescent="0.25">
      <c r="H242" s="162" t="str">
        <f>H235</f>
        <v>GS&gt;50</v>
      </c>
      <c r="I242" s="192">
        <f>J235-I235</f>
        <v>-0.9166666666666714</v>
      </c>
      <c r="J242" s="192"/>
      <c r="K242" s="153" t="str">
        <f>K235</f>
        <v>kW</v>
      </c>
      <c r="L242" s="192">
        <f>M235-L235</f>
        <v>7036.9400000000023</v>
      </c>
      <c r="M242" s="192"/>
      <c r="N242" s="192">
        <f>O235-N235</f>
        <v>7302.0741783559206</v>
      </c>
      <c r="O242" s="192"/>
      <c r="P242" s="192">
        <f>Q235-P235</f>
        <v>165.43077484815535</v>
      </c>
      <c r="Q242" s="192"/>
      <c r="R242" s="192">
        <f>S235-R235</f>
        <v>168.85303106045649</v>
      </c>
      <c r="S242" s="192"/>
    </row>
    <row r="243" spans="8:19" x14ac:dyDescent="0.25">
      <c r="H243" s="162" t="str">
        <f>H236</f>
        <v>Street 
Lights</v>
      </c>
      <c r="I243" s="192">
        <f>J236-I236</f>
        <v>2</v>
      </c>
      <c r="J243" s="192"/>
      <c r="K243" s="153" t="str">
        <f>K236</f>
        <v>kW</v>
      </c>
      <c r="L243" s="192">
        <f>M236-L236</f>
        <v>3.7999999999999545</v>
      </c>
      <c r="M243" s="192"/>
      <c r="N243" s="192">
        <f>O236-N236</f>
        <v>13.076005206545233</v>
      </c>
      <c r="O243" s="192"/>
      <c r="P243" s="192">
        <f>Q236-P236</f>
        <v>-3.0906620483794889E-3</v>
      </c>
      <c r="Q243" s="192"/>
      <c r="R243" s="192">
        <f>S236-R236</f>
        <v>1.4835033366074502E-2</v>
      </c>
      <c r="S243" s="192"/>
    </row>
    <row r="244" spans="8:19" x14ac:dyDescent="0.25">
      <c r="H244" s="162" t="str">
        <f>H237</f>
        <v>Unmetered Scattered Load</v>
      </c>
      <c r="I244" s="192">
        <f>J237-I237</f>
        <v>0</v>
      </c>
      <c r="J244" s="192"/>
      <c r="K244" s="153" t="str">
        <f>K237</f>
        <v>kWh</v>
      </c>
      <c r="L244" s="192">
        <f>M237-L237</f>
        <v>81</v>
      </c>
      <c r="M244" s="192"/>
      <c r="N244" s="192">
        <f>O237-N237</f>
        <v>91.176346479874383</v>
      </c>
      <c r="O244" s="192"/>
      <c r="P244" s="192">
        <f>Q237-P237</f>
        <v>81</v>
      </c>
      <c r="Q244" s="192"/>
      <c r="R244" s="192">
        <f>S237-R237</f>
        <v>91.176346479874383</v>
      </c>
      <c r="S244" s="192"/>
    </row>
    <row r="247" spans="8:19" ht="13" x14ac:dyDescent="0.25">
      <c r="H247" s="102" t="s">
        <v>201</v>
      </c>
      <c r="I247" s="102"/>
      <c r="J247" s="102"/>
      <c r="K247" s="142"/>
      <c r="L247" s="155"/>
    </row>
    <row r="248" spans="8:19" ht="13" x14ac:dyDescent="0.25">
      <c r="H248" s="156" t="s">
        <v>174</v>
      </c>
      <c r="I248" s="190" t="s">
        <v>175</v>
      </c>
      <c r="J248" s="190"/>
      <c r="K248" s="105" t="s">
        <v>176</v>
      </c>
      <c r="L248" s="191" t="s">
        <v>177</v>
      </c>
      <c r="M248" s="191"/>
      <c r="N248" s="187" t="s">
        <v>178</v>
      </c>
      <c r="O248" s="187"/>
      <c r="P248" s="187" t="s">
        <v>179</v>
      </c>
      <c r="Q248" s="187"/>
      <c r="R248" s="187" t="s">
        <v>180</v>
      </c>
      <c r="S248" s="187"/>
    </row>
    <row r="249" spans="8:19" ht="13" x14ac:dyDescent="0.25">
      <c r="H249" s="193" t="str">
        <f>H231</f>
        <v>Weather 
Normal Conversion 
Factor</v>
      </c>
      <c r="I249" s="194"/>
      <c r="J249" s="194"/>
      <c r="K249" s="194"/>
      <c r="L249" s="194"/>
      <c r="M249" s="195"/>
      <c r="N249" s="157">
        <f>O231</f>
        <v>0.95215767000561269</v>
      </c>
      <c r="O249" s="157">
        <f>F114</f>
        <v>1.001896700880198</v>
      </c>
      <c r="P249" s="196"/>
      <c r="Q249" s="197"/>
      <c r="R249" s="196"/>
      <c r="S249" s="197"/>
    </row>
    <row r="250" spans="8:19" ht="25.5" x14ac:dyDescent="0.3">
      <c r="H250" s="159"/>
      <c r="I250" s="100" t="str">
        <f t="shared" ref="I250:I255" si="52">J232</f>
        <v xml:space="preserve">2014 Actual </v>
      </c>
      <c r="J250" s="100" t="s">
        <v>125</v>
      </c>
      <c r="K250" s="160"/>
      <c r="L250" s="100" t="str">
        <f>I250</f>
        <v xml:space="preserve">2014 Actual </v>
      </c>
      <c r="M250" s="100" t="str">
        <f>J250</f>
        <v xml:space="preserve">2015 Actual </v>
      </c>
      <c r="N250" s="100" t="str">
        <f>L250</f>
        <v xml:space="preserve">2014 Actual </v>
      </c>
      <c r="O250" s="100" t="str">
        <f>M250</f>
        <v xml:space="preserve">2015 Actual </v>
      </c>
      <c r="P250" s="100" t="str">
        <f>L250</f>
        <v xml:space="preserve">2014 Actual </v>
      </c>
      <c r="Q250" s="100" t="str">
        <f>M250</f>
        <v xml:space="preserve">2015 Actual </v>
      </c>
      <c r="R250" s="100" t="str">
        <f>N250</f>
        <v xml:space="preserve">2014 Actual </v>
      </c>
      <c r="S250" s="100" t="str">
        <f>O250</f>
        <v xml:space="preserve">2015 Actual </v>
      </c>
    </row>
    <row r="251" spans="8:19" x14ac:dyDescent="0.25">
      <c r="H251" s="154" t="str">
        <f>H233</f>
        <v>Residential</v>
      </c>
      <c r="I251" s="152">
        <f t="shared" si="52"/>
        <v>2355.8333333333335</v>
      </c>
      <c r="J251" s="152">
        <f>Summary!I13</f>
        <v>2355.8333333333335</v>
      </c>
      <c r="K251" s="153" t="str">
        <f>K240</f>
        <v>kWh</v>
      </c>
      <c r="L251" s="152">
        <f>M233</f>
        <v>37207390.200000003</v>
      </c>
      <c r="M251" s="152">
        <f>Summary!J14</f>
        <v>33751334.479999997</v>
      </c>
      <c r="N251" s="153">
        <f>L251*$N$249</f>
        <v>35427301.959821671</v>
      </c>
      <c r="O251" s="152">
        <f>M251*$O$249</f>
        <v>33815350.665816069</v>
      </c>
      <c r="P251" s="153">
        <f>L251/I251</f>
        <v>15793.727711354793</v>
      </c>
      <c r="Q251" s="153">
        <f>M251/J251</f>
        <v>14326.707243013792</v>
      </c>
      <c r="R251" s="153">
        <f>N251/I251</f>
        <v>15038.118978346658</v>
      </c>
      <c r="S251" s="153">
        <f>O251/J251</f>
        <v>14353.880721251957</v>
      </c>
    </row>
    <row r="252" spans="8:19" x14ac:dyDescent="0.25">
      <c r="H252" s="154" t="str">
        <f>H234</f>
        <v>GS&lt;50</v>
      </c>
      <c r="I252" s="152">
        <f t="shared" si="52"/>
        <v>403.91666666666669</v>
      </c>
      <c r="J252" s="152">
        <f>Summary!I17</f>
        <v>403.91666666666669</v>
      </c>
      <c r="K252" s="153" t="str">
        <f>K241</f>
        <v>kWh</v>
      </c>
      <c r="L252" s="152">
        <f>M234</f>
        <v>13500465.83</v>
      </c>
      <c r="M252" s="152">
        <f>Summary!J18</f>
        <v>12579055.51</v>
      </c>
      <c r="N252" s="153">
        <f t="shared" ref="N252:N255" si="53">L252*$N$249</f>
        <v>12854572.08868319</v>
      </c>
      <c r="O252" s="152">
        <f t="shared" ref="O252:O255" si="54">M252*$O$249</f>
        <v>12602914.215657877</v>
      </c>
      <c r="P252" s="153">
        <f t="shared" ref="P252:Q255" si="55">L252/I252</f>
        <v>33423.888995254798</v>
      </c>
      <c r="Q252" s="153">
        <f t="shared" si="55"/>
        <v>31142.699839075714</v>
      </c>
      <c r="R252" s="153">
        <f t="shared" ref="R252:S255" si="56">N252/I252</f>
        <v>31824.812268248043</v>
      </c>
      <c r="S252" s="153">
        <f t="shared" si="56"/>
        <v>31201.768225272233</v>
      </c>
    </row>
    <row r="253" spans="8:19" x14ac:dyDescent="0.25">
      <c r="H253" s="154" t="str">
        <f>H235</f>
        <v>GS&gt;50</v>
      </c>
      <c r="I253" s="152">
        <f t="shared" si="52"/>
        <v>52.166666666666664</v>
      </c>
      <c r="J253" s="152">
        <f>Summary!J21</f>
        <v>51.25</v>
      </c>
      <c r="K253" s="153" t="str">
        <f>K242</f>
        <v>kW</v>
      </c>
      <c r="L253" s="152">
        <f>M235</f>
        <v>99287.98</v>
      </c>
      <c r="M253" s="152">
        <f>Summary!J23</f>
        <v>94898.52</v>
      </c>
      <c r="N253" s="153">
        <f t="shared" si="53"/>
        <v>94537.811696363875</v>
      </c>
      <c r="O253" s="152">
        <f t="shared" si="54"/>
        <v>95078.514106413495</v>
      </c>
      <c r="P253" s="153">
        <f t="shared" si="55"/>
        <v>1903.2839616613419</v>
      </c>
      <c r="Q253" s="153">
        <f t="shared" si="55"/>
        <v>1851.6784390243904</v>
      </c>
      <c r="R253" s="153">
        <f t="shared" si="56"/>
        <v>1812.2264222945153</v>
      </c>
      <c r="S253" s="153">
        <f t="shared" si="56"/>
        <v>1855.1905191495316</v>
      </c>
    </row>
    <row r="254" spans="8:19" x14ac:dyDescent="0.25">
      <c r="H254" s="154" t="str">
        <f>H236</f>
        <v>Street 
Lights</v>
      </c>
      <c r="I254" s="152">
        <f t="shared" si="52"/>
        <v>534</v>
      </c>
      <c r="J254" s="152">
        <f>Summary!J26</f>
        <v>532</v>
      </c>
      <c r="K254" s="153" t="str">
        <f>K243</f>
        <v>kW</v>
      </c>
      <c r="L254" s="152">
        <f>M236</f>
        <v>1453.61</v>
      </c>
      <c r="M254" s="152">
        <f>Summary!J28</f>
        <v>1104.19</v>
      </c>
      <c r="N254" s="153">
        <f t="shared" si="53"/>
        <v>1384.0659106968585</v>
      </c>
      <c r="O254" s="152">
        <f t="shared" si="54"/>
        <v>1106.2843181449059</v>
      </c>
      <c r="P254" s="153">
        <f t="shared" si="55"/>
        <v>2.7221161048689138</v>
      </c>
      <c r="Q254" s="153">
        <f t="shared" si="55"/>
        <v>2.0755451127819549</v>
      </c>
      <c r="R254" s="153">
        <f t="shared" si="56"/>
        <v>2.5918837278967386</v>
      </c>
      <c r="S254" s="153">
        <f t="shared" si="56"/>
        <v>2.0794818010242593</v>
      </c>
    </row>
    <row r="255" spans="8:19" x14ac:dyDescent="0.25">
      <c r="H255" s="154" t="str">
        <f>H237</f>
        <v>Unmetered Scattered Load</v>
      </c>
      <c r="I255" s="152">
        <f t="shared" si="52"/>
        <v>1</v>
      </c>
      <c r="J255" s="152">
        <f>Summary!J31</f>
        <v>0.67</v>
      </c>
      <c r="K255" s="153" t="str">
        <f>K244</f>
        <v>kWh</v>
      </c>
      <c r="L255" s="152">
        <f>M237</f>
        <v>2235</v>
      </c>
      <c r="M255" s="152">
        <f>Summary!J32</f>
        <v>1488</v>
      </c>
      <c r="N255" s="153">
        <f t="shared" si="53"/>
        <v>2128.0723924625445</v>
      </c>
      <c r="O255" s="152">
        <f t="shared" si="54"/>
        <v>1490.8222909097346</v>
      </c>
      <c r="P255" s="153">
        <f t="shared" si="55"/>
        <v>2235</v>
      </c>
      <c r="Q255" s="153">
        <f t="shared" si="55"/>
        <v>2220.8955223880594</v>
      </c>
      <c r="R255" s="153">
        <f t="shared" si="56"/>
        <v>2128.0723924625445</v>
      </c>
      <c r="S255" s="153">
        <f t="shared" si="56"/>
        <v>2225.1078968802008</v>
      </c>
    </row>
    <row r="256" spans="8:19" x14ac:dyDescent="0.25">
      <c r="H256" s="154" t="s">
        <v>10</v>
      </c>
      <c r="I256" s="152">
        <f>SUM(I251:I255)</f>
        <v>3346.9166666666665</v>
      </c>
      <c r="J256" s="152">
        <f>SUM(J251:J255)</f>
        <v>3343.67</v>
      </c>
      <c r="K256" s="153"/>
      <c r="L256" s="161"/>
      <c r="M256" s="161"/>
      <c r="N256" s="161"/>
      <c r="O256" s="161"/>
      <c r="P256" s="161"/>
      <c r="Q256" s="161"/>
      <c r="R256" s="161"/>
      <c r="S256" s="161"/>
    </row>
    <row r="257" spans="8:31" x14ac:dyDescent="0.25">
      <c r="H257" s="99"/>
      <c r="I257" s="188" t="s">
        <v>182</v>
      </c>
      <c r="J257" s="188"/>
      <c r="K257" s="99"/>
      <c r="L257" s="188" t="s">
        <v>182</v>
      </c>
      <c r="M257" s="188"/>
      <c r="N257" s="188" t="s">
        <v>182</v>
      </c>
      <c r="O257" s="188"/>
      <c r="P257" s="188" t="s">
        <v>182</v>
      </c>
      <c r="Q257" s="188"/>
      <c r="R257" s="188" t="s">
        <v>182</v>
      </c>
      <c r="S257" s="188"/>
    </row>
    <row r="258" spans="8:31" x14ac:dyDescent="0.25">
      <c r="H258" s="162" t="str">
        <f>H251</f>
        <v>Residential</v>
      </c>
      <c r="I258" s="198">
        <f>J251-I251</f>
        <v>0</v>
      </c>
      <c r="J258" s="199"/>
      <c r="K258" s="153" t="str">
        <f>K251</f>
        <v>kWh</v>
      </c>
      <c r="L258" s="198">
        <f>M251-L251</f>
        <v>-3456055.7200000063</v>
      </c>
      <c r="M258" s="199"/>
      <c r="N258" s="198">
        <f>O251-N251</f>
        <v>-1611951.2940056026</v>
      </c>
      <c r="O258" s="199"/>
      <c r="P258" s="198">
        <f>Q251-P251</f>
        <v>-1467.0204683410011</v>
      </c>
      <c r="Q258" s="199"/>
      <c r="R258" s="198">
        <f>S251-R251</f>
        <v>-684.23825709470111</v>
      </c>
      <c r="S258" s="199"/>
    </row>
    <row r="259" spans="8:31" x14ac:dyDescent="0.25">
      <c r="H259" s="162" t="str">
        <f>H252</f>
        <v>GS&lt;50</v>
      </c>
      <c r="I259" s="198">
        <f>J252-I252</f>
        <v>0</v>
      </c>
      <c r="J259" s="199"/>
      <c r="K259" s="153" t="str">
        <f>K252</f>
        <v>kWh</v>
      </c>
      <c r="L259" s="198">
        <f>M252-L252</f>
        <v>-921410.3200000003</v>
      </c>
      <c r="M259" s="199"/>
      <c r="N259" s="198">
        <f>O252-N252</f>
        <v>-251657.87302531302</v>
      </c>
      <c r="O259" s="199"/>
      <c r="P259" s="198">
        <f>Q252-P252</f>
        <v>-2281.1891561790835</v>
      </c>
      <c r="Q259" s="199"/>
      <c r="R259" s="198">
        <f>S252-R252</f>
        <v>-623.04404297580913</v>
      </c>
      <c r="S259" s="199"/>
    </row>
    <row r="260" spans="8:31" x14ac:dyDescent="0.25">
      <c r="H260" s="162" t="str">
        <f>H253</f>
        <v>GS&gt;50</v>
      </c>
      <c r="I260" s="198">
        <f>J253-I253</f>
        <v>-0.9166666666666643</v>
      </c>
      <c r="J260" s="199"/>
      <c r="K260" s="153" t="str">
        <f>K253</f>
        <v>kW</v>
      </c>
      <c r="L260" s="198">
        <f>M253-L253</f>
        <v>-4389.4599999999919</v>
      </c>
      <c r="M260" s="199"/>
      <c r="N260" s="198">
        <f>O253-N253</f>
        <v>540.70241004962008</v>
      </c>
      <c r="O260" s="199"/>
      <c r="P260" s="198">
        <f>Q253-P253</f>
        <v>-51.605522636951491</v>
      </c>
      <c r="Q260" s="199"/>
      <c r="R260" s="198">
        <f>S253-R253</f>
        <v>42.964096855016351</v>
      </c>
      <c r="S260" s="199"/>
    </row>
    <row r="261" spans="8:31" x14ac:dyDescent="0.25">
      <c r="H261" s="162" t="str">
        <f>H254</f>
        <v>Street 
Lights</v>
      </c>
      <c r="I261" s="198">
        <f>J254-I254</f>
        <v>-2</v>
      </c>
      <c r="J261" s="199"/>
      <c r="K261" s="153" t="str">
        <f>K254</f>
        <v>kW</v>
      </c>
      <c r="L261" s="198">
        <f>M254-L254</f>
        <v>-349.41999999999985</v>
      </c>
      <c r="M261" s="199"/>
      <c r="N261" s="198">
        <f>O254-N254</f>
        <v>-277.7815925519526</v>
      </c>
      <c r="O261" s="199"/>
      <c r="P261" s="198">
        <f>Q254-P254</f>
        <v>-0.6465709920869589</v>
      </c>
      <c r="Q261" s="199"/>
      <c r="R261" s="198">
        <f>S254-R254</f>
        <v>-0.51240192687247932</v>
      </c>
      <c r="S261" s="199"/>
      <c r="T261" s="97"/>
      <c r="U261" s="97"/>
      <c r="V261" s="97"/>
      <c r="W261" s="97"/>
      <c r="X261" s="97"/>
      <c r="Y261" s="97"/>
      <c r="Z261" s="97"/>
      <c r="AA261" s="97"/>
      <c r="AB261" s="97"/>
      <c r="AC261" s="97"/>
      <c r="AD261" s="97"/>
      <c r="AE261" s="97"/>
    </row>
    <row r="262" spans="8:31" x14ac:dyDescent="0.25">
      <c r="H262" s="162" t="str">
        <f>H255</f>
        <v>Unmetered Scattered Load</v>
      </c>
      <c r="I262" s="198">
        <f>J255-I255</f>
        <v>-0.32999999999999996</v>
      </c>
      <c r="J262" s="199"/>
      <c r="K262" s="153" t="str">
        <f>K255</f>
        <v>kWh</v>
      </c>
      <c r="L262" s="198">
        <f>M255-L255</f>
        <v>-747</v>
      </c>
      <c r="M262" s="199"/>
      <c r="N262" s="198">
        <f>O255-N255</f>
        <v>-637.25010155280984</v>
      </c>
      <c r="O262" s="199"/>
      <c r="P262" s="198">
        <f>Q255-P255</f>
        <v>-14.104477611940638</v>
      </c>
      <c r="Q262" s="199"/>
      <c r="R262" s="198">
        <f>S255-R255</f>
        <v>97.035504417656284</v>
      </c>
      <c r="S262" s="199"/>
      <c r="T262" s="97"/>
      <c r="U262" s="97"/>
      <c r="V262" s="97"/>
      <c r="W262" s="97"/>
      <c r="X262" s="97"/>
      <c r="Y262" s="97"/>
      <c r="Z262" s="97"/>
      <c r="AA262" s="97"/>
      <c r="AB262" s="97"/>
      <c r="AC262" s="97"/>
      <c r="AD262" s="97"/>
      <c r="AE262" s="97"/>
    </row>
    <row r="263" spans="8:31" x14ac:dyDescent="0.25">
      <c r="T263" s="97"/>
      <c r="U263" s="97"/>
      <c r="V263" s="97"/>
      <c r="W263" s="97"/>
      <c r="X263" s="97"/>
      <c r="Y263" s="97"/>
      <c r="Z263" s="97"/>
      <c r="AA263" s="97"/>
      <c r="AB263" s="97"/>
      <c r="AC263" s="97"/>
      <c r="AD263" s="97"/>
      <c r="AE263" s="97"/>
    </row>
    <row r="264" spans="8:31" ht="13" x14ac:dyDescent="0.25">
      <c r="H264" s="102" t="s">
        <v>202</v>
      </c>
      <c r="I264" s="102"/>
      <c r="J264" s="102"/>
      <c r="K264" s="142"/>
      <c r="L264" s="155"/>
    </row>
    <row r="265" spans="8:31" ht="13" x14ac:dyDescent="0.25">
      <c r="H265" s="156" t="s">
        <v>174</v>
      </c>
      <c r="I265" s="190" t="s">
        <v>175</v>
      </c>
      <c r="J265" s="190"/>
      <c r="K265" s="105" t="s">
        <v>176</v>
      </c>
      <c r="L265" s="191" t="s">
        <v>177</v>
      </c>
      <c r="M265" s="191"/>
      <c r="N265" s="187" t="s">
        <v>178</v>
      </c>
      <c r="O265" s="187"/>
      <c r="P265" s="187" t="s">
        <v>179</v>
      </c>
      <c r="Q265" s="187"/>
      <c r="R265" s="187" t="s">
        <v>180</v>
      </c>
      <c r="S265" s="187"/>
    </row>
    <row r="266" spans="8:31" ht="13" x14ac:dyDescent="0.25">
      <c r="H266" s="193" t="str">
        <f>H249</f>
        <v>Weather 
Normal Conversion 
Factor</v>
      </c>
      <c r="I266" s="194"/>
      <c r="J266" s="194"/>
      <c r="K266" s="194"/>
      <c r="L266" s="194"/>
      <c r="M266" s="195"/>
      <c r="N266" s="157">
        <f>O249</f>
        <v>1.001896700880198</v>
      </c>
      <c r="O266" s="157">
        <f>F115</f>
        <v>1.0215571898444169</v>
      </c>
      <c r="P266" s="196"/>
      <c r="Q266" s="197"/>
      <c r="R266" s="196"/>
      <c r="S266" s="197"/>
    </row>
    <row r="267" spans="8:31" ht="25.5" x14ac:dyDescent="0.3">
      <c r="H267" s="159"/>
      <c r="I267" s="100" t="str">
        <f t="shared" ref="I267:I272" si="57">J250</f>
        <v xml:space="preserve">2015 Actual </v>
      </c>
      <c r="J267" s="100" t="s">
        <v>126</v>
      </c>
      <c r="K267" s="160"/>
      <c r="L267" s="100" t="str">
        <f>I267</f>
        <v xml:space="preserve">2015 Actual </v>
      </c>
      <c r="M267" s="100" t="str">
        <f>J267</f>
        <v xml:space="preserve">2016 Actual </v>
      </c>
      <c r="N267" s="100" t="str">
        <f>L267</f>
        <v xml:space="preserve">2015 Actual </v>
      </c>
      <c r="O267" s="100" t="str">
        <f>M267</f>
        <v xml:space="preserve">2016 Actual </v>
      </c>
      <c r="P267" s="100" t="str">
        <f>L267</f>
        <v xml:space="preserve">2015 Actual </v>
      </c>
      <c r="Q267" s="100" t="str">
        <f>M267</f>
        <v xml:space="preserve">2016 Actual </v>
      </c>
      <c r="R267" s="100" t="str">
        <f>N267</f>
        <v xml:space="preserve">2015 Actual </v>
      </c>
      <c r="S267" s="100" t="str">
        <f>O267</f>
        <v xml:space="preserve">2016 Actual </v>
      </c>
    </row>
    <row r="268" spans="8:31" x14ac:dyDescent="0.25">
      <c r="H268" s="154" t="str">
        <f>H251</f>
        <v>Residential</v>
      </c>
      <c r="I268" s="152">
        <f t="shared" si="57"/>
        <v>2355.8333333333335</v>
      </c>
      <c r="J268" s="152">
        <f>Summary!K13</f>
        <v>2374.3333333333335</v>
      </c>
      <c r="K268" s="153" t="str">
        <f>K258</f>
        <v>kWh</v>
      </c>
      <c r="L268" s="152">
        <f>M251</f>
        <v>33751334.479999997</v>
      </c>
      <c r="M268" s="152">
        <f>Summary!K14</f>
        <v>32668224.870000001</v>
      </c>
      <c r="N268" s="153">
        <f>L268*$N$266</f>
        <v>33815350.665816069</v>
      </c>
      <c r="O268" s="152">
        <f>M268*$O$266</f>
        <v>33372459.995402694</v>
      </c>
      <c r="P268" s="153">
        <f>L268/I268</f>
        <v>14326.707243013792</v>
      </c>
      <c r="Q268" s="153">
        <f>M268/J268</f>
        <v>13758.904199073424</v>
      </c>
      <c r="R268" s="153">
        <f>N268/I268</f>
        <v>14353.880721251957</v>
      </c>
      <c r="S268" s="153">
        <f>O268/J268</f>
        <v>14055.507508943994</v>
      </c>
    </row>
    <row r="269" spans="8:31" x14ac:dyDescent="0.25">
      <c r="H269" s="154" t="str">
        <f>H252</f>
        <v>GS&lt;50</v>
      </c>
      <c r="I269" s="152">
        <f t="shared" si="57"/>
        <v>403.91666666666669</v>
      </c>
      <c r="J269" s="152">
        <f>Summary!K17</f>
        <v>402.08333333333331</v>
      </c>
      <c r="K269" s="153" t="str">
        <f>K259</f>
        <v>kWh</v>
      </c>
      <c r="L269" s="152">
        <f>M252</f>
        <v>12579055.51</v>
      </c>
      <c r="M269" s="152">
        <f>Summary!K18</f>
        <v>11845271.470000001</v>
      </c>
      <c r="N269" s="153">
        <f t="shared" ref="N269:N272" si="58">L269*$N$266</f>
        <v>12602914.215657877</v>
      </c>
      <c r="O269" s="152">
        <f t="shared" ref="O269:O272" si="59">M269*$O$266</f>
        <v>12100622.235837447</v>
      </c>
      <c r="P269" s="153">
        <f t="shared" ref="P269:Q272" si="60">L269/I269</f>
        <v>31142.699839075714</v>
      </c>
      <c r="Q269" s="153">
        <f t="shared" si="60"/>
        <v>29459.742516062179</v>
      </c>
      <c r="R269" s="153">
        <f t="shared" ref="R269:S272" si="61">N269/I269</f>
        <v>31201.768225272233</v>
      </c>
      <c r="S269" s="153">
        <f>O269/J269</f>
        <v>30094.811778248571</v>
      </c>
    </row>
    <row r="270" spans="8:31" x14ac:dyDescent="0.25">
      <c r="H270" s="154" t="str">
        <f>H253</f>
        <v>GS&gt;50</v>
      </c>
      <c r="I270" s="152">
        <f t="shared" si="57"/>
        <v>51.25</v>
      </c>
      <c r="J270" s="152">
        <f>Summary!K21</f>
        <v>50.5</v>
      </c>
      <c r="K270" s="153" t="str">
        <f>K260</f>
        <v>kW</v>
      </c>
      <c r="L270" s="152">
        <f>M253</f>
        <v>94898.52</v>
      </c>
      <c r="M270" s="152">
        <f>Summary!K23</f>
        <v>66975.05</v>
      </c>
      <c r="N270" s="153">
        <f t="shared" si="58"/>
        <v>95078.514106413495</v>
      </c>
      <c r="O270" s="152">
        <f t="shared" si="59"/>
        <v>68418.843867689313</v>
      </c>
      <c r="P270" s="153">
        <f t="shared" si="60"/>
        <v>1851.6784390243904</v>
      </c>
      <c r="Q270" s="153">
        <f t="shared" si="60"/>
        <v>1326.2386138613863</v>
      </c>
      <c r="R270" s="153">
        <f t="shared" si="61"/>
        <v>1855.1905191495316</v>
      </c>
      <c r="S270" s="153">
        <f t="shared" si="61"/>
        <v>1354.8285914393923</v>
      </c>
    </row>
    <row r="271" spans="8:31" x14ac:dyDescent="0.25">
      <c r="H271" s="154" t="str">
        <f>H254</f>
        <v>Street 
Lights</v>
      </c>
      <c r="I271" s="152">
        <f t="shared" si="57"/>
        <v>532</v>
      </c>
      <c r="J271" s="152">
        <f>Summary!K26</f>
        <v>531</v>
      </c>
      <c r="K271" s="153" t="str">
        <f>K261</f>
        <v>kW</v>
      </c>
      <c r="L271" s="152">
        <f>M254</f>
        <v>1104.19</v>
      </c>
      <c r="M271" s="152">
        <f>Summary!K28</f>
        <v>420.26</v>
      </c>
      <c r="N271" s="153">
        <f t="shared" si="58"/>
        <v>1106.2843181449059</v>
      </c>
      <c r="O271" s="152">
        <f t="shared" si="59"/>
        <v>429.31962460401462</v>
      </c>
      <c r="P271" s="153">
        <f t="shared" si="60"/>
        <v>2.0755451127819549</v>
      </c>
      <c r="Q271" s="153">
        <f>M271/J271</f>
        <v>0.79145009416195855</v>
      </c>
      <c r="R271" s="153">
        <f t="shared" si="61"/>
        <v>2.0794818010242593</v>
      </c>
      <c r="S271" s="153">
        <f t="shared" si="61"/>
        <v>0.80851153409418952</v>
      </c>
    </row>
    <row r="272" spans="8:31" x14ac:dyDescent="0.25">
      <c r="H272" s="154" t="str">
        <f>H255</f>
        <v>Unmetered Scattered Load</v>
      </c>
      <c r="I272" s="152">
        <f t="shared" si="57"/>
        <v>0.67</v>
      </c>
      <c r="J272" s="152">
        <f>Summary!K31</f>
        <v>0</v>
      </c>
      <c r="K272" s="153" t="str">
        <f>K262</f>
        <v>kWh</v>
      </c>
      <c r="L272" s="152">
        <f>M255</f>
        <v>1488</v>
      </c>
      <c r="M272" s="152">
        <f>Summary!K32</f>
        <v>0</v>
      </c>
      <c r="N272" s="153">
        <f t="shared" si="58"/>
        <v>1490.8222909097346</v>
      </c>
      <c r="O272" s="152">
        <f t="shared" si="59"/>
        <v>0</v>
      </c>
      <c r="P272" s="153">
        <f t="shared" si="60"/>
        <v>2220.8955223880594</v>
      </c>
      <c r="Q272" s="153"/>
      <c r="R272" s="153">
        <f t="shared" si="61"/>
        <v>2225.1078968802008</v>
      </c>
      <c r="S272" s="153"/>
    </row>
    <row r="273" spans="8:19" x14ac:dyDescent="0.25">
      <c r="H273" s="154" t="s">
        <v>10</v>
      </c>
      <c r="I273" s="152">
        <f>SUM(I268:I272)</f>
        <v>3343.67</v>
      </c>
      <c r="J273" s="152">
        <f>SUM(J268:J272)</f>
        <v>3357.916666666667</v>
      </c>
      <c r="K273" s="153"/>
      <c r="L273" s="161"/>
      <c r="M273" s="161"/>
      <c r="N273" s="161"/>
      <c r="O273" s="161"/>
      <c r="P273" s="161"/>
      <c r="Q273" s="161"/>
      <c r="R273" s="161"/>
      <c r="S273" s="161"/>
    </row>
    <row r="274" spans="8:19" x14ac:dyDescent="0.25">
      <c r="H274" s="99"/>
      <c r="I274" s="188" t="s">
        <v>182</v>
      </c>
      <c r="J274" s="188"/>
      <c r="K274" s="99"/>
      <c r="L274" s="188" t="s">
        <v>182</v>
      </c>
      <c r="M274" s="188"/>
      <c r="N274" s="188" t="s">
        <v>182</v>
      </c>
      <c r="O274" s="188"/>
      <c r="P274" s="188" t="s">
        <v>182</v>
      </c>
      <c r="Q274" s="188"/>
      <c r="R274" s="188" t="s">
        <v>182</v>
      </c>
      <c r="S274" s="188"/>
    </row>
    <row r="275" spans="8:19" x14ac:dyDescent="0.25">
      <c r="H275" s="162" t="str">
        <f>H268</f>
        <v>Residential</v>
      </c>
      <c r="I275" s="198">
        <f>J268-I268</f>
        <v>18.5</v>
      </c>
      <c r="J275" s="199"/>
      <c r="K275" s="153" t="str">
        <f>K268</f>
        <v>kWh</v>
      </c>
      <c r="L275" s="198">
        <f>M268-L268</f>
        <v>-1083109.6099999957</v>
      </c>
      <c r="M275" s="199"/>
      <c r="N275" s="198">
        <f>O268-N268</f>
        <v>-442890.6704133749</v>
      </c>
      <c r="O275" s="199"/>
      <c r="P275" s="198">
        <f>Q268-P268</f>
        <v>-567.8030439403683</v>
      </c>
      <c r="Q275" s="199"/>
      <c r="R275" s="198">
        <f>S268-R268</f>
        <v>-298.3732123079626</v>
      </c>
      <c r="S275" s="199"/>
    </row>
    <row r="276" spans="8:19" x14ac:dyDescent="0.25">
      <c r="H276" s="162" t="str">
        <f>H269</f>
        <v>GS&lt;50</v>
      </c>
      <c r="I276" s="198">
        <f>J269-I269</f>
        <v>-1.8333333333333712</v>
      </c>
      <c r="J276" s="199"/>
      <c r="K276" s="153" t="str">
        <f>K269</f>
        <v>kWh</v>
      </c>
      <c r="L276" s="198">
        <f>M269-L269</f>
        <v>-733784.03999999911</v>
      </c>
      <c r="M276" s="199"/>
      <c r="N276" s="198">
        <f>O269-N269</f>
        <v>-502291.97982043028</v>
      </c>
      <c r="O276" s="199"/>
      <c r="P276" s="198">
        <f>Q269-P269</f>
        <v>-1682.9573230135356</v>
      </c>
      <c r="Q276" s="199"/>
      <c r="R276" s="198">
        <f>S269-R269</f>
        <v>-1106.9564470236619</v>
      </c>
      <c r="S276" s="199"/>
    </row>
    <row r="277" spans="8:19" x14ac:dyDescent="0.25">
      <c r="H277" s="162" t="str">
        <f>H270</f>
        <v>GS&gt;50</v>
      </c>
      <c r="I277" s="198">
        <f>J270-I270</f>
        <v>-0.75</v>
      </c>
      <c r="J277" s="199"/>
      <c r="K277" s="153" t="str">
        <f>K270</f>
        <v>kW</v>
      </c>
      <c r="L277" s="198">
        <f>M270-L270</f>
        <v>-27923.47</v>
      </c>
      <c r="M277" s="199"/>
      <c r="N277" s="198">
        <f>O270-N270</f>
        <v>-26659.670238724182</v>
      </c>
      <c r="O277" s="199"/>
      <c r="P277" s="198">
        <f>Q270-P270</f>
        <v>-525.43982516300412</v>
      </c>
      <c r="Q277" s="199"/>
      <c r="R277" s="198">
        <f>S270-R270</f>
        <v>-500.3619277101393</v>
      </c>
      <c r="S277" s="199"/>
    </row>
    <row r="278" spans="8:19" x14ac:dyDescent="0.25">
      <c r="H278" s="162" t="str">
        <f>H271</f>
        <v>Street 
Lights</v>
      </c>
      <c r="I278" s="198">
        <f>J271-I271</f>
        <v>-1</v>
      </c>
      <c r="J278" s="199"/>
      <c r="K278" s="153" t="str">
        <f>K271</f>
        <v>kW</v>
      </c>
      <c r="L278" s="198">
        <f>M271-L271</f>
        <v>-683.93000000000006</v>
      </c>
      <c r="M278" s="199"/>
      <c r="N278" s="198">
        <f>O271-N271</f>
        <v>-676.96469354089129</v>
      </c>
      <c r="O278" s="199"/>
      <c r="P278" s="198">
        <f>Q271-P271</f>
        <v>-1.2840950186199964</v>
      </c>
      <c r="Q278" s="199"/>
      <c r="R278" s="198">
        <f>S271-R271</f>
        <v>-1.2709702669300698</v>
      </c>
      <c r="S278" s="199"/>
    </row>
    <row r="279" spans="8:19" x14ac:dyDescent="0.25">
      <c r="H279" s="162" t="str">
        <f>H272</f>
        <v>Unmetered Scattered Load</v>
      </c>
      <c r="I279" s="198">
        <f>J272-I272</f>
        <v>-0.67</v>
      </c>
      <c r="J279" s="199"/>
      <c r="K279" s="153" t="str">
        <f>K272</f>
        <v>kWh</v>
      </c>
      <c r="L279" s="198">
        <f>M272-L272</f>
        <v>-1488</v>
      </c>
      <c r="M279" s="199"/>
      <c r="N279" s="198">
        <f>O272-N272</f>
        <v>-1490.8222909097346</v>
      </c>
      <c r="O279" s="199"/>
      <c r="P279" s="198">
        <f>Q272-P272</f>
        <v>-2220.8955223880594</v>
      </c>
      <c r="Q279" s="199"/>
      <c r="R279" s="198">
        <f>S272-R272</f>
        <v>-2225.1078968802008</v>
      </c>
      <c r="S279" s="199"/>
    </row>
    <row r="281" spans="8:19" ht="13" x14ac:dyDescent="0.25">
      <c r="H281" s="102" t="s">
        <v>203</v>
      </c>
      <c r="I281" s="102"/>
      <c r="J281" s="102"/>
      <c r="K281" s="142"/>
      <c r="L281" s="155"/>
    </row>
    <row r="282" spans="8:19" ht="13" x14ac:dyDescent="0.25">
      <c r="H282" s="156" t="s">
        <v>174</v>
      </c>
      <c r="I282" s="190" t="s">
        <v>175</v>
      </c>
      <c r="J282" s="190"/>
      <c r="K282" s="105" t="s">
        <v>176</v>
      </c>
      <c r="L282" s="191" t="s">
        <v>177</v>
      </c>
      <c r="M282" s="191"/>
      <c r="N282" s="187" t="s">
        <v>178</v>
      </c>
      <c r="O282" s="187"/>
      <c r="P282" s="187" t="s">
        <v>179</v>
      </c>
      <c r="Q282" s="187"/>
      <c r="R282" s="187" t="s">
        <v>180</v>
      </c>
      <c r="S282" s="187"/>
    </row>
    <row r="283" spans="8:19" ht="13" x14ac:dyDescent="0.25">
      <c r="H283" s="193" t="str">
        <f>H266</f>
        <v>Weather 
Normal Conversion 
Factor</v>
      </c>
      <c r="I283" s="194"/>
      <c r="J283" s="194"/>
      <c r="K283" s="194"/>
      <c r="L283" s="194"/>
      <c r="M283" s="195"/>
      <c r="N283" s="157">
        <f>O266</f>
        <v>1.0215571898444169</v>
      </c>
      <c r="O283" s="157">
        <v>1</v>
      </c>
      <c r="P283" s="196"/>
      <c r="Q283" s="197"/>
      <c r="R283" s="196"/>
      <c r="S283" s="197"/>
    </row>
    <row r="284" spans="8:19" ht="25.5" x14ac:dyDescent="0.3">
      <c r="H284" s="159"/>
      <c r="I284" s="100" t="str">
        <f t="shared" ref="I284:I289" si="62">J267</f>
        <v xml:space="preserve">2016 Actual </v>
      </c>
      <c r="J284" s="100" t="s">
        <v>183</v>
      </c>
      <c r="K284" s="160"/>
      <c r="L284" s="100" t="str">
        <f>I284</f>
        <v xml:space="preserve">2016 Actual </v>
      </c>
      <c r="M284" s="100" t="str">
        <f>J284</f>
        <v>2017 Bridge</v>
      </c>
      <c r="N284" s="100" t="str">
        <f>L284</f>
        <v xml:space="preserve">2016 Actual </v>
      </c>
      <c r="O284" s="100" t="str">
        <f>M284</f>
        <v>2017 Bridge</v>
      </c>
      <c r="P284" s="100" t="str">
        <f>L284</f>
        <v xml:space="preserve">2016 Actual </v>
      </c>
      <c r="Q284" s="100" t="str">
        <f>M284</f>
        <v>2017 Bridge</v>
      </c>
      <c r="R284" s="100" t="str">
        <f>N284</f>
        <v xml:space="preserve">2016 Actual </v>
      </c>
      <c r="S284" s="100" t="str">
        <f>O284</f>
        <v>2017 Bridge</v>
      </c>
    </row>
    <row r="285" spans="8:19" x14ac:dyDescent="0.25">
      <c r="H285" s="154" t="str">
        <f>H268</f>
        <v>Residential</v>
      </c>
      <c r="I285" s="152">
        <f t="shared" si="62"/>
        <v>2374.3333333333335</v>
      </c>
      <c r="J285" s="152">
        <f>Summary!L13</f>
        <v>2380.4483782880525</v>
      </c>
      <c r="K285" s="153" t="str">
        <f>K275</f>
        <v>kWh</v>
      </c>
      <c r="L285" s="152">
        <f>M268</f>
        <v>32668224.870000001</v>
      </c>
      <c r="M285" s="152">
        <f>Summary!L14</f>
        <v>33524773.252216704</v>
      </c>
      <c r="N285" s="153">
        <f>L285*$N$283</f>
        <v>33372459.995402694</v>
      </c>
      <c r="O285" s="152">
        <f>M285*$O$283</f>
        <v>33524773.252216704</v>
      </c>
      <c r="P285" s="153">
        <f>L285/I285</f>
        <v>13758.904199073424</v>
      </c>
      <c r="Q285" s="153">
        <f>M285/J285</f>
        <v>14083.385952829072</v>
      </c>
      <c r="R285" s="153">
        <f>N285/I285</f>
        <v>14055.507508943994</v>
      </c>
      <c r="S285" s="153">
        <f>O285/J285</f>
        <v>14083.385952829072</v>
      </c>
    </row>
    <row r="286" spans="8:19" x14ac:dyDescent="0.25">
      <c r="H286" s="154" t="str">
        <f>H269</f>
        <v>GS&lt;50</v>
      </c>
      <c r="I286" s="152">
        <f t="shared" si="62"/>
        <v>402.08333333333331</v>
      </c>
      <c r="J286" s="152">
        <f>Summary!L17</f>
        <v>402.08333333333331</v>
      </c>
      <c r="K286" s="153" t="str">
        <f>K276</f>
        <v>kWh</v>
      </c>
      <c r="L286" s="152">
        <f>M269</f>
        <v>11845271.470000001</v>
      </c>
      <c r="M286" s="152">
        <f>Summary!L18</f>
        <v>12143659.082122359</v>
      </c>
      <c r="N286" s="153">
        <f t="shared" ref="N286:N289" si="63">L286*$N$283</f>
        <v>12100622.235837447</v>
      </c>
      <c r="O286" s="152">
        <f t="shared" ref="O286:O289" si="64">M286*$O$283</f>
        <v>12143659.082122359</v>
      </c>
      <c r="P286" s="153">
        <f t="shared" ref="P286:Q288" si="65">L286/I286</f>
        <v>29459.742516062179</v>
      </c>
      <c r="Q286" s="153">
        <f t="shared" si="65"/>
        <v>30201.846421858718</v>
      </c>
      <c r="R286" s="153">
        <f t="shared" ref="R286:S288" si="66">N286/I286</f>
        <v>30094.811778248571</v>
      </c>
      <c r="S286" s="153">
        <f>O286/J286</f>
        <v>30201.846421858718</v>
      </c>
    </row>
    <row r="287" spans="8:19" x14ac:dyDescent="0.25">
      <c r="H287" s="154" t="str">
        <f>H270</f>
        <v>GS&gt;50</v>
      </c>
      <c r="I287" s="152">
        <f t="shared" si="62"/>
        <v>50.5</v>
      </c>
      <c r="J287" s="152">
        <f>Summary!L21</f>
        <v>51.544810037521799</v>
      </c>
      <c r="K287" s="153" t="str">
        <f>K277</f>
        <v>kW</v>
      </c>
      <c r="L287" s="152">
        <f>M270</f>
        <v>66975.05</v>
      </c>
      <c r="M287" s="152">
        <f>Summary!L23</f>
        <v>71868.92828486074</v>
      </c>
      <c r="N287" s="153">
        <f t="shared" si="63"/>
        <v>68418.843867689313</v>
      </c>
      <c r="O287" s="152">
        <f t="shared" si="64"/>
        <v>71868.92828486074</v>
      </c>
      <c r="P287" s="153">
        <f t="shared" si="65"/>
        <v>1326.2386138613863</v>
      </c>
      <c r="Q287" s="153">
        <f t="shared" si="65"/>
        <v>1394.2999932009468</v>
      </c>
      <c r="R287" s="153">
        <f t="shared" si="66"/>
        <v>1354.8285914393923</v>
      </c>
      <c r="S287" s="153">
        <f t="shared" si="66"/>
        <v>1394.2999932009468</v>
      </c>
    </row>
    <row r="288" spans="8:19" x14ac:dyDescent="0.25">
      <c r="H288" s="154" t="str">
        <f>H271</f>
        <v>Street 
Lights</v>
      </c>
      <c r="I288" s="152">
        <f t="shared" si="62"/>
        <v>531</v>
      </c>
      <c r="J288" s="152">
        <f>Summary!L26</f>
        <v>531</v>
      </c>
      <c r="K288" s="153" t="str">
        <f>K278</f>
        <v>kW</v>
      </c>
      <c r="L288" s="152">
        <f>M271</f>
        <v>420.26</v>
      </c>
      <c r="M288" s="152">
        <f>Summary!L28</f>
        <v>420.26</v>
      </c>
      <c r="N288" s="153">
        <f t="shared" si="63"/>
        <v>429.31962460401462</v>
      </c>
      <c r="O288" s="152">
        <f t="shared" si="64"/>
        <v>420.26</v>
      </c>
      <c r="P288" s="153">
        <f t="shared" si="65"/>
        <v>0.79145009416195855</v>
      </c>
      <c r="Q288" s="153">
        <f>M288/J288</f>
        <v>0.79145009416195855</v>
      </c>
      <c r="R288" s="153">
        <f t="shared" si="66"/>
        <v>0.80851153409418952</v>
      </c>
      <c r="S288" s="153">
        <f t="shared" si="66"/>
        <v>0.79145009416195855</v>
      </c>
    </row>
    <row r="289" spans="8:19" x14ac:dyDescent="0.25">
      <c r="H289" s="154" t="str">
        <f>H272</f>
        <v>Unmetered Scattered Load</v>
      </c>
      <c r="I289" s="152">
        <f t="shared" si="62"/>
        <v>0</v>
      </c>
      <c r="J289" s="152">
        <f>Summary!L31</f>
        <v>0</v>
      </c>
      <c r="K289" s="153" t="str">
        <f>K279</f>
        <v>kWh</v>
      </c>
      <c r="L289" s="152">
        <f>M272</f>
        <v>0</v>
      </c>
      <c r="M289" s="152">
        <f>Summary!L32</f>
        <v>0</v>
      </c>
      <c r="N289" s="153">
        <f t="shared" si="63"/>
        <v>0</v>
      </c>
      <c r="O289" s="152">
        <f t="shared" si="64"/>
        <v>0</v>
      </c>
      <c r="P289" s="153"/>
      <c r="Q289" s="153"/>
      <c r="R289" s="153"/>
      <c r="S289" s="153"/>
    </row>
    <row r="290" spans="8:19" x14ac:dyDescent="0.25">
      <c r="H290" s="154" t="s">
        <v>10</v>
      </c>
      <c r="I290" s="152">
        <f>SUM(I285:I289)</f>
        <v>3357.916666666667</v>
      </c>
      <c r="J290" s="152">
        <f>SUM(J285:J289)</f>
        <v>3365.076521658908</v>
      </c>
      <c r="K290" s="153"/>
      <c r="L290" s="161"/>
      <c r="M290" s="161"/>
      <c r="N290" s="161"/>
      <c r="O290" s="161"/>
      <c r="P290" s="161"/>
      <c r="Q290" s="161"/>
      <c r="R290" s="161"/>
      <c r="S290" s="161"/>
    </row>
    <row r="291" spans="8:19" x14ac:dyDescent="0.25">
      <c r="H291" s="99"/>
      <c r="I291" s="188" t="s">
        <v>182</v>
      </c>
      <c r="J291" s="188"/>
      <c r="K291" s="99"/>
      <c r="L291" s="188" t="s">
        <v>182</v>
      </c>
      <c r="M291" s="188"/>
      <c r="N291" s="188" t="s">
        <v>182</v>
      </c>
      <c r="O291" s="188"/>
      <c r="P291" s="188" t="s">
        <v>182</v>
      </c>
      <c r="Q291" s="188"/>
      <c r="R291" s="188" t="s">
        <v>182</v>
      </c>
      <c r="S291" s="188"/>
    </row>
    <row r="292" spans="8:19" x14ac:dyDescent="0.25">
      <c r="H292" s="162" t="str">
        <f>H285</f>
        <v>Residential</v>
      </c>
      <c r="I292" s="198">
        <f>J285-I285</f>
        <v>6.1150449547189965</v>
      </c>
      <c r="J292" s="199"/>
      <c r="K292" s="153" t="str">
        <f>K285</f>
        <v>kWh</v>
      </c>
      <c r="L292" s="198">
        <f>M285-L285</f>
        <v>856548.38221670315</v>
      </c>
      <c r="M292" s="199"/>
      <c r="N292" s="198">
        <f>O285-N285</f>
        <v>152313.25681401044</v>
      </c>
      <c r="O292" s="199"/>
      <c r="P292" s="198">
        <f>Q285-P285</f>
        <v>324.48175375564824</v>
      </c>
      <c r="Q292" s="199"/>
      <c r="R292" s="198">
        <f>S285-R285</f>
        <v>27.878443885078013</v>
      </c>
      <c r="S292" s="199"/>
    </row>
    <row r="293" spans="8:19" x14ac:dyDescent="0.25">
      <c r="H293" s="162" t="str">
        <f>H286</f>
        <v>GS&lt;50</v>
      </c>
      <c r="I293" s="198">
        <f>J286-I286</f>
        <v>0</v>
      </c>
      <c r="J293" s="199"/>
      <c r="K293" s="153" t="str">
        <f>K286</f>
        <v>kWh</v>
      </c>
      <c r="L293" s="198">
        <f>M286-L286</f>
        <v>298387.61212235875</v>
      </c>
      <c r="M293" s="199"/>
      <c r="N293" s="198">
        <f>O286-N286</f>
        <v>43036.846284912899</v>
      </c>
      <c r="O293" s="199"/>
      <c r="P293" s="198">
        <f>Q286-P286</f>
        <v>742.10390579653904</v>
      </c>
      <c r="Q293" s="199"/>
      <c r="R293" s="198">
        <f>S286-R286</f>
        <v>107.0346436101463</v>
      </c>
      <c r="S293" s="199"/>
    </row>
    <row r="294" spans="8:19" x14ac:dyDescent="0.25">
      <c r="H294" s="162" t="str">
        <f>H287</f>
        <v>GS&gt;50</v>
      </c>
      <c r="I294" s="198">
        <f>J287-I287</f>
        <v>1.044810037521799</v>
      </c>
      <c r="J294" s="199"/>
      <c r="K294" s="153" t="str">
        <f>K287</f>
        <v>kW</v>
      </c>
      <c r="L294" s="198">
        <f>M287-L287</f>
        <v>4893.878284860737</v>
      </c>
      <c r="M294" s="199"/>
      <c r="N294" s="198">
        <f>O287-N287</f>
        <v>3450.084417171427</v>
      </c>
      <c r="O294" s="199"/>
      <c r="P294" s="198">
        <f>Q287-P287</f>
        <v>68.061379339560517</v>
      </c>
      <c r="Q294" s="199"/>
      <c r="R294" s="198">
        <f>S287-R287</f>
        <v>39.471401761554489</v>
      </c>
      <c r="S294" s="199"/>
    </row>
    <row r="295" spans="8:19" x14ac:dyDescent="0.25">
      <c r="H295" s="162" t="str">
        <f>H288</f>
        <v>Street 
Lights</v>
      </c>
      <c r="I295" s="198">
        <f>J288-I288</f>
        <v>0</v>
      </c>
      <c r="J295" s="199"/>
      <c r="K295" s="153" t="str">
        <f>K288</f>
        <v>kW</v>
      </c>
      <c r="L295" s="198">
        <f>M288-L288</f>
        <v>0</v>
      </c>
      <c r="M295" s="199"/>
      <c r="N295" s="198">
        <f>O288-N288</f>
        <v>-9.0596246040146298</v>
      </c>
      <c r="O295" s="199"/>
      <c r="P295" s="198">
        <f>Q288-P288</f>
        <v>0</v>
      </c>
      <c r="Q295" s="199"/>
      <c r="R295" s="198">
        <f>S288-R288</f>
        <v>-1.7061439932230971E-2</v>
      </c>
      <c r="S295" s="199"/>
    </row>
    <row r="296" spans="8:19" x14ac:dyDescent="0.25">
      <c r="H296" s="162" t="str">
        <f>H289</f>
        <v>Unmetered Scattered Load</v>
      </c>
      <c r="I296" s="198">
        <f>J289-I289</f>
        <v>0</v>
      </c>
      <c r="J296" s="199"/>
      <c r="K296" s="153" t="str">
        <f>K289</f>
        <v>kWh</v>
      </c>
      <c r="L296" s="198">
        <f>M289-L289</f>
        <v>0</v>
      </c>
      <c r="M296" s="199"/>
      <c r="N296" s="198">
        <f>O289-N289</f>
        <v>0</v>
      </c>
      <c r="O296" s="199"/>
      <c r="P296" s="198">
        <f>Q289-P289</f>
        <v>0</v>
      </c>
      <c r="Q296" s="199"/>
      <c r="R296" s="198">
        <f>S289-R289</f>
        <v>0</v>
      </c>
      <c r="S296" s="199"/>
    </row>
    <row r="298" spans="8:19" ht="13" x14ac:dyDescent="0.25">
      <c r="H298" s="102" t="s">
        <v>204</v>
      </c>
      <c r="I298" s="102"/>
      <c r="J298" s="102"/>
      <c r="K298" s="142"/>
      <c r="L298" s="155"/>
    </row>
    <row r="299" spans="8:19" ht="13" x14ac:dyDescent="0.25">
      <c r="H299" s="156" t="s">
        <v>174</v>
      </c>
      <c r="I299" s="190" t="s">
        <v>175</v>
      </c>
      <c r="J299" s="190"/>
      <c r="K299" s="105" t="s">
        <v>176</v>
      </c>
      <c r="L299" s="191" t="s">
        <v>177</v>
      </c>
      <c r="M299" s="191"/>
      <c r="N299" s="187" t="s">
        <v>178</v>
      </c>
      <c r="O299" s="187"/>
      <c r="P299" s="187" t="s">
        <v>179</v>
      </c>
      <c r="Q299" s="187"/>
      <c r="R299" s="187" t="s">
        <v>180</v>
      </c>
      <c r="S299" s="187"/>
    </row>
    <row r="300" spans="8:19" ht="13" x14ac:dyDescent="0.25">
      <c r="H300" s="193" t="str">
        <f>H283</f>
        <v>Weather 
Normal Conversion 
Factor</v>
      </c>
      <c r="I300" s="194"/>
      <c r="J300" s="194"/>
      <c r="K300" s="194"/>
      <c r="L300" s="194"/>
      <c r="M300" s="195"/>
      <c r="N300" s="157">
        <f>O283</f>
        <v>1</v>
      </c>
      <c r="O300" s="157">
        <v>1</v>
      </c>
      <c r="P300" s="196"/>
      <c r="Q300" s="197"/>
      <c r="R300" s="196"/>
      <c r="S300" s="197"/>
    </row>
    <row r="301" spans="8:19" ht="25.5" x14ac:dyDescent="0.3">
      <c r="H301" s="159"/>
      <c r="I301" s="100" t="str">
        <f t="shared" ref="I301:I306" si="67">J284</f>
        <v>2017 Bridge</v>
      </c>
      <c r="J301" s="100" t="s">
        <v>205</v>
      </c>
      <c r="K301" s="160"/>
      <c r="L301" s="100" t="str">
        <f>I301</f>
        <v>2017 Bridge</v>
      </c>
      <c r="M301" s="100" t="str">
        <f>J301</f>
        <v>2018 Bridge</v>
      </c>
      <c r="N301" s="100" t="str">
        <f>L301</f>
        <v>2017 Bridge</v>
      </c>
      <c r="O301" s="100" t="str">
        <f>M301</f>
        <v>2018 Bridge</v>
      </c>
      <c r="P301" s="100" t="str">
        <f>L301</f>
        <v>2017 Bridge</v>
      </c>
      <c r="Q301" s="100" t="str">
        <f>M301</f>
        <v>2018 Bridge</v>
      </c>
      <c r="R301" s="100" t="str">
        <f>N301</f>
        <v>2017 Bridge</v>
      </c>
      <c r="S301" s="100" t="str">
        <f>O301</f>
        <v>2018 Bridge</v>
      </c>
    </row>
    <row r="302" spans="8:19" x14ac:dyDescent="0.25">
      <c r="H302" s="154" t="str">
        <f>H285</f>
        <v>Residential</v>
      </c>
      <c r="I302" s="152">
        <f t="shared" si="67"/>
        <v>2380.4483782880525</v>
      </c>
      <c r="J302" s="152">
        <f>Summary!M13</f>
        <v>2386.5791724108744</v>
      </c>
      <c r="K302" s="153" t="str">
        <f>K292</f>
        <v>kWh</v>
      </c>
      <c r="L302" s="152">
        <f>M285</f>
        <v>33524773.252216704</v>
      </c>
      <c r="M302" s="152">
        <f>Summary!M14</f>
        <v>32918745.903764922</v>
      </c>
      <c r="N302" s="153">
        <f>L302*$N$300</f>
        <v>33524773.252216704</v>
      </c>
      <c r="O302" s="152">
        <f>M302*$O$300</f>
        <v>32918745.903764922</v>
      </c>
      <c r="P302" s="153">
        <f>L302/I302</f>
        <v>14083.385952829072</v>
      </c>
      <c r="Q302" s="153">
        <f>M302/J302</f>
        <v>13793.276286120885</v>
      </c>
      <c r="R302" s="153">
        <f>N302/I302</f>
        <v>14083.385952829072</v>
      </c>
      <c r="S302" s="153">
        <f>O302/J302</f>
        <v>13793.276286120885</v>
      </c>
    </row>
    <row r="303" spans="8:19" x14ac:dyDescent="0.25">
      <c r="H303" s="154" t="str">
        <f>H286</f>
        <v>GS&lt;50</v>
      </c>
      <c r="I303" s="152">
        <f t="shared" si="67"/>
        <v>402.08333333333331</v>
      </c>
      <c r="J303" s="152">
        <f>Summary!M17</f>
        <v>402.08333333333331</v>
      </c>
      <c r="K303" s="153" t="str">
        <f>K293</f>
        <v>kWh</v>
      </c>
      <c r="L303" s="152">
        <f>M286</f>
        <v>12143659.082122359</v>
      </c>
      <c r="M303" s="152">
        <f>Summary!M18</f>
        <v>11931507.783663193</v>
      </c>
      <c r="N303" s="153">
        <f t="shared" ref="N303:N306" si="68">L303*$N$300</f>
        <v>12143659.082122359</v>
      </c>
      <c r="O303" s="152">
        <f t="shared" ref="O303:O306" si="69">M303*$O$300</f>
        <v>11931507.783663193</v>
      </c>
      <c r="P303" s="153">
        <f t="shared" ref="P303:Q305" si="70">L303/I303</f>
        <v>30201.846421858718</v>
      </c>
      <c r="Q303" s="153">
        <f t="shared" si="70"/>
        <v>29674.216249525041</v>
      </c>
      <c r="R303" s="153">
        <f t="shared" ref="R303:S305" si="71">N303/I303</f>
        <v>30201.846421858718</v>
      </c>
      <c r="S303" s="153">
        <f>O303/J303</f>
        <v>29674.216249525041</v>
      </c>
    </row>
    <row r="304" spans="8:19" x14ac:dyDescent="0.25">
      <c r="H304" s="154" t="str">
        <f>H287</f>
        <v>GS&gt;50</v>
      </c>
      <c r="I304" s="152">
        <f t="shared" si="67"/>
        <v>51.544810037521799</v>
      </c>
      <c r="J304" s="152">
        <f>Summary!M21</f>
        <v>52.611236471370454</v>
      </c>
      <c r="K304" s="153" t="str">
        <f>K294</f>
        <v>kW</v>
      </c>
      <c r="L304" s="152">
        <f>M287</f>
        <v>71868.92828486074</v>
      </c>
      <c r="M304" s="152">
        <f>Summary!M23</f>
        <v>72182.799461163799</v>
      </c>
      <c r="N304" s="153">
        <f t="shared" si="68"/>
        <v>71868.92828486074</v>
      </c>
      <c r="O304" s="152">
        <f t="shared" si="69"/>
        <v>72182.799461163799</v>
      </c>
      <c r="P304" s="153">
        <f t="shared" si="70"/>
        <v>1394.2999932009468</v>
      </c>
      <c r="Q304" s="153">
        <f t="shared" si="70"/>
        <v>1372.0034787709967</v>
      </c>
      <c r="R304" s="153">
        <f t="shared" si="71"/>
        <v>1394.2999932009468</v>
      </c>
      <c r="S304" s="153">
        <f t="shared" si="71"/>
        <v>1372.0034787709967</v>
      </c>
    </row>
    <row r="305" spans="8:19" x14ac:dyDescent="0.25">
      <c r="H305" s="154" t="str">
        <f>H288</f>
        <v>Street 
Lights</v>
      </c>
      <c r="I305" s="152">
        <f t="shared" si="67"/>
        <v>531</v>
      </c>
      <c r="J305" s="152">
        <f>Summary!M26</f>
        <v>531</v>
      </c>
      <c r="K305" s="153" t="str">
        <f>K295</f>
        <v>kW</v>
      </c>
      <c r="L305" s="152">
        <f>M288</f>
        <v>420.26</v>
      </c>
      <c r="M305" s="152">
        <f>Summary!M28</f>
        <v>420.26</v>
      </c>
      <c r="N305" s="153">
        <f t="shared" si="68"/>
        <v>420.26</v>
      </c>
      <c r="O305" s="152">
        <f t="shared" si="69"/>
        <v>420.26</v>
      </c>
      <c r="P305" s="153">
        <f t="shared" si="70"/>
        <v>0.79145009416195855</v>
      </c>
      <c r="Q305" s="153">
        <f>M305/J305</f>
        <v>0.79145009416195855</v>
      </c>
      <c r="R305" s="153">
        <f t="shared" si="71"/>
        <v>0.79145009416195855</v>
      </c>
      <c r="S305" s="153">
        <f t="shared" si="71"/>
        <v>0.79145009416195855</v>
      </c>
    </row>
    <row r="306" spans="8:19" x14ac:dyDescent="0.25">
      <c r="H306" s="154" t="str">
        <f>H289</f>
        <v>Unmetered Scattered Load</v>
      </c>
      <c r="I306" s="152">
        <f t="shared" si="67"/>
        <v>0</v>
      </c>
      <c r="J306" s="152">
        <f>Summary!M31</f>
        <v>0</v>
      </c>
      <c r="K306" s="153" t="str">
        <f>K296</f>
        <v>kWh</v>
      </c>
      <c r="L306" s="152">
        <f>M289</f>
        <v>0</v>
      </c>
      <c r="M306" s="152">
        <f>Summary!M32</f>
        <v>0</v>
      </c>
      <c r="N306" s="153">
        <f t="shared" si="68"/>
        <v>0</v>
      </c>
      <c r="O306" s="152">
        <f t="shared" si="69"/>
        <v>0</v>
      </c>
      <c r="P306" s="153"/>
      <c r="Q306" s="153"/>
      <c r="R306" s="153"/>
      <c r="S306" s="153"/>
    </row>
    <row r="307" spans="8:19" x14ac:dyDescent="0.25">
      <c r="H307" s="154" t="s">
        <v>10</v>
      </c>
      <c r="I307" s="152">
        <f>SUM(I302:I306)</f>
        <v>3365.076521658908</v>
      </c>
      <c r="J307" s="152">
        <f>SUM(J302:J306)</f>
        <v>3372.2737422155783</v>
      </c>
      <c r="K307" s="153"/>
      <c r="L307" s="161"/>
      <c r="M307" s="161"/>
      <c r="N307" s="161"/>
      <c r="O307" s="161"/>
      <c r="P307" s="161"/>
      <c r="Q307" s="161"/>
      <c r="R307" s="161"/>
      <c r="S307" s="161"/>
    </row>
    <row r="308" spans="8:19" x14ac:dyDescent="0.25">
      <c r="H308" s="99"/>
      <c r="I308" s="188" t="s">
        <v>182</v>
      </c>
      <c r="J308" s="188"/>
      <c r="K308" s="99"/>
      <c r="L308" s="188" t="s">
        <v>182</v>
      </c>
      <c r="M308" s="188"/>
      <c r="N308" s="188" t="s">
        <v>182</v>
      </c>
      <c r="O308" s="188"/>
      <c r="P308" s="188" t="s">
        <v>182</v>
      </c>
      <c r="Q308" s="188"/>
      <c r="R308" s="188" t="s">
        <v>182</v>
      </c>
      <c r="S308" s="188"/>
    </row>
    <row r="309" spans="8:19" x14ac:dyDescent="0.25">
      <c r="H309" s="162" t="str">
        <f>H302</f>
        <v>Residential</v>
      </c>
      <c r="I309" s="198">
        <f>J302-I302</f>
        <v>6.1307941228219534</v>
      </c>
      <c r="J309" s="199"/>
      <c r="K309" s="153" t="str">
        <f>K302</f>
        <v>kWh</v>
      </c>
      <c r="L309" s="198">
        <f>M302-L302</f>
        <v>-606027.34845178202</v>
      </c>
      <c r="M309" s="199"/>
      <c r="N309" s="198">
        <f>O302-N302</f>
        <v>-606027.34845178202</v>
      </c>
      <c r="O309" s="199"/>
      <c r="P309" s="198">
        <f>Q302-P302</f>
        <v>-290.10966670818743</v>
      </c>
      <c r="Q309" s="199"/>
      <c r="R309" s="198">
        <f>S302-R302</f>
        <v>-290.10966670818743</v>
      </c>
      <c r="S309" s="199"/>
    </row>
    <row r="310" spans="8:19" x14ac:dyDescent="0.25">
      <c r="H310" s="162" t="str">
        <f>H303</f>
        <v>GS&lt;50</v>
      </c>
      <c r="I310" s="198">
        <f>J303-I303</f>
        <v>0</v>
      </c>
      <c r="J310" s="199"/>
      <c r="K310" s="153" t="str">
        <f>K303</f>
        <v>kWh</v>
      </c>
      <c r="L310" s="198">
        <f>M303-L303</f>
        <v>-212151.29845916666</v>
      </c>
      <c r="M310" s="199"/>
      <c r="N310" s="198">
        <f>O303-N303</f>
        <v>-212151.29845916666</v>
      </c>
      <c r="O310" s="199"/>
      <c r="P310" s="198">
        <f>Q303-P303</f>
        <v>-527.63017233367646</v>
      </c>
      <c r="Q310" s="199"/>
      <c r="R310" s="198">
        <f>S303-R303</f>
        <v>-527.63017233367646</v>
      </c>
      <c r="S310" s="199"/>
    </row>
    <row r="311" spans="8:19" x14ac:dyDescent="0.25">
      <c r="H311" s="162" t="str">
        <f>H304</f>
        <v>GS&gt;50</v>
      </c>
      <c r="I311" s="198">
        <f>J304-I304</f>
        <v>1.0664264338486547</v>
      </c>
      <c r="J311" s="199"/>
      <c r="K311" s="153" t="str">
        <f>K304</f>
        <v>kW</v>
      </c>
      <c r="L311" s="198">
        <f>M304-L304</f>
        <v>313.87117630305875</v>
      </c>
      <c r="M311" s="199"/>
      <c r="N311" s="198">
        <f>O304-N304</f>
        <v>313.87117630305875</v>
      </c>
      <c r="O311" s="199"/>
      <c r="P311" s="198">
        <f>Q304-P304</f>
        <v>-22.296514429950093</v>
      </c>
      <c r="Q311" s="199"/>
      <c r="R311" s="198">
        <f>S304-R304</f>
        <v>-22.296514429950093</v>
      </c>
      <c r="S311" s="199"/>
    </row>
    <row r="312" spans="8:19" x14ac:dyDescent="0.25">
      <c r="H312" s="162" t="str">
        <f>H305</f>
        <v>Street 
Lights</v>
      </c>
      <c r="I312" s="198">
        <f>J305-I305</f>
        <v>0</v>
      </c>
      <c r="J312" s="199"/>
      <c r="K312" s="153" t="str">
        <f>K305</f>
        <v>kW</v>
      </c>
      <c r="L312" s="198">
        <f>M305-L305</f>
        <v>0</v>
      </c>
      <c r="M312" s="199"/>
      <c r="N312" s="198">
        <f>O305-N305</f>
        <v>0</v>
      </c>
      <c r="O312" s="199"/>
      <c r="P312" s="198">
        <f>Q305-P305</f>
        <v>0</v>
      </c>
      <c r="Q312" s="199"/>
      <c r="R312" s="198">
        <f>S305-R305</f>
        <v>0</v>
      </c>
      <c r="S312" s="199"/>
    </row>
    <row r="313" spans="8:19" x14ac:dyDescent="0.25">
      <c r="H313" s="162" t="str">
        <f>H306</f>
        <v>Unmetered Scattered Load</v>
      </c>
      <c r="I313" s="198">
        <f>J306-I306</f>
        <v>0</v>
      </c>
      <c r="J313" s="199"/>
      <c r="K313" s="153" t="str">
        <f>K306</f>
        <v>kWh</v>
      </c>
      <c r="L313" s="198">
        <f>M306-L306</f>
        <v>0</v>
      </c>
      <c r="M313" s="199"/>
      <c r="N313" s="198">
        <f>O306-N306</f>
        <v>0</v>
      </c>
      <c r="O313" s="199"/>
      <c r="P313" s="198">
        <f>Q306-P306</f>
        <v>0</v>
      </c>
      <c r="Q313" s="199"/>
      <c r="R313" s="198">
        <f>S306-R306</f>
        <v>0</v>
      </c>
      <c r="S313" s="199"/>
    </row>
  </sheetData>
  <mergeCells count="289">
    <mergeCell ref="I313:J313"/>
    <mergeCell ref="L313:M313"/>
    <mergeCell ref="N313:O313"/>
    <mergeCell ref="P313:Q313"/>
    <mergeCell ref="R313:S313"/>
    <mergeCell ref="I311:J311"/>
    <mergeCell ref="L311:M311"/>
    <mergeCell ref="N311:O311"/>
    <mergeCell ref="P311:Q311"/>
    <mergeCell ref="R311:S311"/>
    <mergeCell ref="I312:J312"/>
    <mergeCell ref="L312:M312"/>
    <mergeCell ref="N312:O312"/>
    <mergeCell ref="P312:Q312"/>
    <mergeCell ref="R312:S312"/>
    <mergeCell ref="I310:J310"/>
    <mergeCell ref="L310:M310"/>
    <mergeCell ref="N310:O310"/>
    <mergeCell ref="P310:Q310"/>
    <mergeCell ref="R310:S310"/>
    <mergeCell ref="H300:M300"/>
    <mergeCell ref="P300:Q300"/>
    <mergeCell ref="R300:S300"/>
    <mergeCell ref="I308:J308"/>
    <mergeCell ref="L308:M308"/>
    <mergeCell ref="N308:O308"/>
    <mergeCell ref="P308:Q308"/>
    <mergeCell ref="R308:S308"/>
    <mergeCell ref="I309:J309"/>
    <mergeCell ref="L309:M309"/>
    <mergeCell ref="N309:O309"/>
    <mergeCell ref="P309:Q309"/>
    <mergeCell ref="R309:S309"/>
    <mergeCell ref="I299:J299"/>
    <mergeCell ref="L299:M299"/>
    <mergeCell ref="N299:O299"/>
    <mergeCell ref="P299:Q299"/>
    <mergeCell ref="R299:S299"/>
    <mergeCell ref="I296:J296"/>
    <mergeCell ref="L296:M296"/>
    <mergeCell ref="N296:O296"/>
    <mergeCell ref="P296:Q296"/>
    <mergeCell ref="R296:S296"/>
    <mergeCell ref="I294:J294"/>
    <mergeCell ref="L294:M294"/>
    <mergeCell ref="N294:O294"/>
    <mergeCell ref="P294:Q294"/>
    <mergeCell ref="R294:S294"/>
    <mergeCell ref="I295:J295"/>
    <mergeCell ref="L295:M295"/>
    <mergeCell ref="N295:O295"/>
    <mergeCell ref="P295:Q295"/>
    <mergeCell ref="R295:S295"/>
    <mergeCell ref="I292:J292"/>
    <mergeCell ref="L292:M292"/>
    <mergeCell ref="N292:O292"/>
    <mergeCell ref="P292:Q292"/>
    <mergeCell ref="R292:S292"/>
    <mergeCell ref="I293:J293"/>
    <mergeCell ref="L293:M293"/>
    <mergeCell ref="N293:O293"/>
    <mergeCell ref="P293:Q293"/>
    <mergeCell ref="R293:S293"/>
    <mergeCell ref="H283:M283"/>
    <mergeCell ref="P283:Q283"/>
    <mergeCell ref="R283:S283"/>
    <mergeCell ref="I291:J291"/>
    <mergeCell ref="L291:M291"/>
    <mergeCell ref="N291:O291"/>
    <mergeCell ref="P291:Q291"/>
    <mergeCell ref="R291:S291"/>
    <mergeCell ref="I282:J282"/>
    <mergeCell ref="L282:M282"/>
    <mergeCell ref="N282:O282"/>
    <mergeCell ref="P282:Q282"/>
    <mergeCell ref="R282:S282"/>
    <mergeCell ref="I279:J279"/>
    <mergeCell ref="L279:M279"/>
    <mergeCell ref="N279:O279"/>
    <mergeCell ref="P279:Q279"/>
    <mergeCell ref="R279:S279"/>
    <mergeCell ref="I277:J277"/>
    <mergeCell ref="L277:M277"/>
    <mergeCell ref="N277:O277"/>
    <mergeCell ref="P277:Q277"/>
    <mergeCell ref="R277:S277"/>
    <mergeCell ref="I278:J278"/>
    <mergeCell ref="L278:M278"/>
    <mergeCell ref="N278:O278"/>
    <mergeCell ref="P278:Q278"/>
    <mergeCell ref="R278:S278"/>
    <mergeCell ref="I275:J275"/>
    <mergeCell ref="L275:M275"/>
    <mergeCell ref="N275:O275"/>
    <mergeCell ref="P275:Q275"/>
    <mergeCell ref="R275:S275"/>
    <mergeCell ref="I276:J276"/>
    <mergeCell ref="L276:M276"/>
    <mergeCell ref="N276:O276"/>
    <mergeCell ref="P276:Q276"/>
    <mergeCell ref="R276:S276"/>
    <mergeCell ref="H266:M266"/>
    <mergeCell ref="P266:Q266"/>
    <mergeCell ref="R266:S266"/>
    <mergeCell ref="I274:J274"/>
    <mergeCell ref="L274:M274"/>
    <mergeCell ref="N274:O274"/>
    <mergeCell ref="P274:Q274"/>
    <mergeCell ref="R274:S274"/>
    <mergeCell ref="I265:J265"/>
    <mergeCell ref="L265:M265"/>
    <mergeCell ref="N265:O265"/>
    <mergeCell ref="P265:Q265"/>
    <mergeCell ref="R265:S265"/>
    <mergeCell ref="I262:J262"/>
    <mergeCell ref="L262:M262"/>
    <mergeCell ref="N262:O262"/>
    <mergeCell ref="P262:Q262"/>
    <mergeCell ref="R262:S262"/>
    <mergeCell ref="I260:J260"/>
    <mergeCell ref="L260:M260"/>
    <mergeCell ref="N260:O260"/>
    <mergeCell ref="P260:Q260"/>
    <mergeCell ref="R260:S260"/>
    <mergeCell ref="I261:J261"/>
    <mergeCell ref="L261:M261"/>
    <mergeCell ref="N261:O261"/>
    <mergeCell ref="P261:Q261"/>
    <mergeCell ref="R261:S261"/>
    <mergeCell ref="I258:J258"/>
    <mergeCell ref="L258:M258"/>
    <mergeCell ref="N258:O258"/>
    <mergeCell ref="P258:Q258"/>
    <mergeCell ref="R258:S258"/>
    <mergeCell ref="I259:J259"/>
    <mergeCell ref="L259:M259"/>
    <mergeCell ref="N259:O259"/>
    <mergeCell ref="P259:Q259"/>
    <mergeCell ref="R259:S259"/>
    <mergeCell ref="H249:M249"/>
    <mergeCell ref="P249:Q249"/>
    <mergeCell ref="R249:S249"/>
    <mergeCell ref="I257:J257"/>
    <mergeCell ref="L257:M257"/>
    <mergeCell ref="N257:O257"/>
    <mergeCell ref="P257:Q257"/>
    <mergeCell ref="R257:S257"/>
    <mergeCell ref="I248:J248"/>
    <mergeCell ref="L248:M248"/>
    <mergeCell ref="N248:O248"/>
    <mergeCell ref="P248:Q248"/>
    <mergeCell ref="R248:S248"/>
    <mergeCell ref="I244:J244"/>
    <mergeCell ref="L244:M244"/>
    <mergeCell ref="N244:O244"/>
    <mergeCell ref="P244:Q244"/>
    <mergeCell ref="R244:S244"/>
    <mergeCell ref="I242:J242"/>
    <mergeCell ref="L242:M242"/>
    <mergeCell ref="N242:O242"/>
    <mergeCell ref="P242:Q242"/>
    <mergeCell ref="R242:S242"/>
    <mergeCell ref="I243:J243"/>
    <mergeCell ref="L243:M243"/>
    <mergeCell ref="N243:O243"/>
    <mergeCell ref="P243:Q243"/>
    <mergeCell ref="R243:S243"/>
    <mergeCell ref="I240:J240"/>
    <mergeCell ref="L240:M240"/>
    <mergeCell ref="N240:O240"/>
    <mergeCell ref="P240:Q240"/>
    <mergeCell ref="R240:S240"/>
    <mergeCell ref="I241:J241"/>
    <mergeCell ref="L241:M241"/>
    <mergeCell ref="N241:O241"/>
    <mergeCell ref="P241:Q241"/>
    <mergeCell ref="R241:S241"/>
    <mergeCell ref="H231:M231"/>
    <mergeCell ref="P231:Q231"/>
    <mergeCell ref="R231:S231"/>
    <mergeCell ref="I239:J239"/>
    <mergeCell ref="L239:M239"/>
    <mergeCell ref="N239:O239"/>
    <mergeCell ref="P239:Q239"/>
    <mergeCell ref="R239:S239"/>
    <mergeCell ref="I230:J230"/>
    <mergeCell ref="L230:M230"/>
    <mergeCell ref="N230:O230"/>
    <mergeCell ref="P230:Q230"/>
    <mergeCell ref="R230:S230"/>
    <mergeCell ref="I227:J227"/>
    <mergeCell ref="L227:M227"/>
    <mergeCell ref="N227:O227"/>
    <mergeCell ref="P227:Q227"/>
    <mergeCell ref="R227:S227"/>
    <mergeCell ref="I225:J225"/>
    <mergeCell ref="L225:M225"/>
    <mergeCell ref="N225:O225"/>
    <mergeCell ref="P225:Q225"/>
    <mergeCell ref="R225:S225"/>
    <mergeCell ref="I226:J226"/>
    <mergeCell ref="L226:M226"/>
    <mergeCell ref="N226:O226"/>
    <mergeCell ref="P226:Q226"/>
    <mergeCell ref="R226:S226"/>
    <mergeCell ref="I223:J223"/>
    <mergeCell ref="L223:M223"/>
    <mergeCell ref="N223:O223"/>
    <mergeCell ref="P223:Q223"/>
    <mergeCell ref="R223:S223"/>
    <mergeCell ref="I224:J224"/>
    <mergeCell ref="L224:M224"/>
    <mergeCell ref="N224:O224"/>
    <mergeCell ref="P224:Q224"/>
    <mergeCell ref="R224:S224"/>
    <mergeCell ref="H214:M214"/>
    <mergeCell ref="P214:Q214"/>
    <mergeCell ref="R214:S214"/>
    <mergeCell ref="I222:J222"/>
    <mergeCell ref="L222:M222"/>
    <mergeCell ref="N222:O222"/>
    <mergeCell ref="P222:Q222"/>
    <mergeCell ref="R222:S222"/>
    <mergeCell ref="I213:J213"/>
    <mergeCell ref="L213:M213"/>
    <mergeCell ref="N213:O213"/>
    <mergeCell ref="P213:Q213"/>
    <mergeCell ref="R213:S213"/>
    <mergeCell ref="I210:J210"/>
    <mergeCell ref="L210:M210"/>
    <mergeCell ref="N210:O210"/>
    <mergeCell ref="P210:Q210"/>
    <mergeCell ref="R210:S210"/>
    <mergeCell ref="I208:J208"/>
    <mergeCell ref="L208:M208"/>
    <mergeCell ref="N208:O208"/>
    <mergeCell ref="P208:Q208"/>
    <mergeCell ref="R208:S208"/>
    <mergeCell ref="I209:J209"/>
    <mergeCell ref="L209:M209"/>
    <mergeCell ref="N209:O209"/>
    <mergeCell ref="P209:Q209"/>
    <mergeCell ref="R209:S209"/>
    <mergeCell ref="I206:J206"/>
    <mergeCell ref="L206:M206"/>
    <mergeCell ref="N206:O206"/>
    <mergeCell ref="P206:Q206"/>
    <mergeCell ref="R206:S206"/>
    <mergeCell ref="I207:J207"/>
    <mergeCell ref="L207:M207"/>
    <mergeCell ref="N207:O207"/>
    <mergeCell ref="P207:Q207"/>
    <mergeCell ref="R207:S207"/>
    <mergeCell ref="H197:M197"/>
    <mergeCell ref="P197:Q197"/>
    <mergeCell ref="R197:S197"/>
    <mergeCell ref="I205:J205"/>
    <mergeCell ref="L205:M205"/>
    <mergeCell ref="N205:O205"/>
    <mergeCell ref="P205:Q205"/>
    <mergeCell ref="R205:S205"/>
    <mergeCell ref="I196:J196"/>
    <mergeCell ref="L196:M196"/>
    <mergeCell ref="N196:O196"/>
    <mergeCell ref="P196:Q196"/>
    <mergeCell ref="R196:S196"/>
    <mergeCell ref="A103:G103"/>
    <mergeCell ref="A105:G105"/>
    <mergeCell ref="A49:G49"/>
    <mergeCell ref="A91:B91"/>
    <mergeCell ref="A76:G76"/>
    <mergeCell ref="A2:G2"/>
    <mergeCell ref="A4:G4"/>
    <mergeCell ref="B183:D183"/>
    <mergeCell ref="E183:G183"/>
    <mergeCell ref="A165:F165"/>
    <mergeCell ref="A180:G180"/>
    <mergeCell ref="A173:G173"/>
    <mergeCell ref="A176:G176"/>
    <mergeCell ref="A122:E122"/>
    <mergeCell ref="A129:E129"/>
    <mergeCell ref="A137:E137"/>
    <mergeCell ref="A145:E145"/>
    <mergeCell ref="A153:E153"/>
    <mergeCell ref="A158:E158"/>
    <mergeCell ref="A50:G50"/>
    <mergeCell ref="A65:F65"/>
    <mergeCell ref="A167:G167"/>
    <mergeCell ref="A170:G170"/>
  </mergeCells>
  <pageMargins left="0.7" right="0.7" top="0.75" bottom="0.75" header="0.3" footer="0.3"/>
  <pageSetup orientation="landscape" horizontalDpi="200" verticalDpi="200" r:id="rId1"/>
  <headerFooter alignWithMargins="0"/>
  <ignoredErrors>
    <ignoredError sqref="D9:D17 F9:F19 O215 N216:N220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5"/>
  <sheetViews>
    <sheetView workbookViewId="0">
      <pane xSplit="1" ySplit="1" topLeftCell="B8" activePane="bottomRight" state="frozen"/>
      <selection pane="topRight" activeCell="B1" sqref="B1"/>
      <selection pane="bottomLeft" activeCell="A3" sqref="A3"/>
      <selection pane="bottomRight" activeCell="C27" sqref="C27"/>
    </sheetView>
  </sheetViews>
  <sheetFormatPr defaultRowHeight="12.5" x14ac:dyDescent="0.25"/>
  <cols>
    <col min="1" max="1" width="11" customWidth="1"/>
    <col min="2" max="2" width="14.1796875" style="6" bestFit="1" customWidth="1"/>
    <col min="3" max="3" width="17.7265625" style="6" customWidth="1"/>
    <col min="4" max="5" width="12.7265625" style="6" bestFit="1" customWidth="1"/>
    <col min="6" max="6" width="11.7265625" style="6" bestFit="1" customWidth="1"/>
    <col min="7" max="7" width="10.7265625" style="6" bestFit="1" customWidth="1"/>
    <col min="8" max="9" width="9.1796875" style="6"/>
  </cols>
  <sheetData>
    <row r="1" spans="1:4" ht="42" customHeight="1" x14ac:dyDescent="0.25">
      <c r="B1" s="8" t="str">
        <f>'Rate Class Customer Model'!D2</f>
        <v>GS&gt;50</v>
      </c>
      <c r="C1" s="8" t="str">
        <f>'Rate Class Customer Model'!F2</f>
        <v>Streetlights</v>
      </c>
      <c r="D1" s="6" t="s">
        <v>10</v>
      </c>
    </row>
    <row r="2" spans="1:4" x14ac:dyDescent="0.25">
      <c r="A2" s="28">
        <v>2007</v>
      </c>
      <c r="B2" s="90">
        <v>105960</v>
      </c>
      <c r="C2" s="90">
        <v>1447</v>
      </c>
      <c r="D2" s="6">
        <f t="shared" ref="D2:D13" si="0">SUM(B2:C2)</f>
        <v>107407</v>
      </c>
    </row>
    <row r="3" spans="1:4" x14ac:dyDescent="0.25">
      <c r="A3" s="28">
        <v>2008</v>
      </c>
      <c r="B3" s="90">
        <v>75100</v>
      </c>
      <c r="C3" s="90">
        <v>1445</v>
      </c>
      <c r="D3" s="6">
        <f t="shared" si="0"/>
        <v>76545</v>
      </c>
    </row>
    <row r="4" spans="1:4" x14ac:dyDescent="0.25">
      <c r="A4" s="28">
        <v>2009</v>
      </c>
      <c r="B4" s="90">
        <v>56741</v>
      </c>
      <c r="C4" s="90">
        <v>1445</v>
      </c>
      <c r="D4" s="6">
        <f t="shared" si="0"/>
        <v>58186</v>
      </c>
    </row>
    <row r="5" spans="1:4" x14ac:dyDescent="0.25">
      <c r="A5" s="28">
        <v>2010</v>
      </c>
      <c r="B5" s="90">
        <v>71492</v>
      </c>
      <c r="C5" s="90">
        <v>1448</v>
      </c>
      <c r="D5" s="6">
        <f t="shared" si="0"/>
        <v>72940</v>
      </c>
    </row>
    <row r="6" spans="1:4" x14ac:dyDescent="0.25">
      <c r="A6" s="28">
        <v>2011</v>
      </c>
      <c r="B6" s="90">
        <v>66653.13</v>
      </c>
      <c r="C6" s="90">
        <v>1446</v>
      </c>
      <c r="D6" s="6">
        <f t="shared" si="0"/>
        <v>68099.13</v>
      </c>
    </row>
    <row r="7" spans="1:4" x14ac:dyDescent="0.25">
      <c r="A7" s="28">
        <v>2012</v>
      </c>
      <c r="B7" s="90">
        <v>66215.44</v>
      </c>
      <c r="C7" s="90">
        <v>1446.63</v>
      </c>
      <c r="D7" s="6">
        <f t="shared" si="0"/>
        <v>67662.070000000007</v>
      </c>
    </row>
    <row r="8" spans="1:4" x14ac:dyDescent="0.25">
      <c r="A8" s="28">
        <v>2013</v>
      </c>
      <c r="B8" s="90">
        <v>92251.04</v>
      </c>
      <c r="C8" s="90">
        <v>1449.81</v>
      </c>
      <c r="D8" s="6">
        <f t="shared" si="0"/>
        <v>93700.849999999991</v>
      </c>
    </row>
    <row r="9" spans="1:4" x14ac:dyDescent="0.25">
      <c r="A9" s="28">
        <v>2014</v>
      </c>
      <c r="B9" s="90">
        <v>99287.98</v>
      </c>
      <c r="C9" s="90">
        <v>1453.61</v>
      </c>
      <c r="D9" s="6">
        <f t="shared" si="0"/>
        <v>100741.59</v>
      </c>
    </row>
    <row r="10" spans="1:4" x14ac:dyDescent="0.25">
      <c r="A10" s="28">
        <v>2015</v>
      </c>
      <c r="B10" s="90">
        <v>94898.52</v>
      </c>
      <c r="C10" s="90">
        <v>1104.19</v>
      </c>
      <c r="D10" s="6">
        <f t="shared" si="0"/>
        <v>96002.71</v>
      </c>
    </row>
    <row r="11" spans="1:4" x14ac:dyDescent="0.25">
      <c r="A11" s="28">
        <v>2016</v>
      </c>
      <c r="B11" s="90">
        <v>66975.05</v>
      </c>
      <c r="C11" s="90">
        <v>420.26</v>
      </c>
      <c r="D11" s="6">
        <f t="shared" si="0"/>
        <v>67395.31</v>
      </c>
    </row>
    <row r="12" spans="1:4" x14ac:dyDescent="0.25">
      <c r="A12" s="28">
        <v>2017</v>
      </c>
      <c r="B12" s="90">
        <f>'Rate Class Energy Model'!J55*'Rate Class Load Model'!B27</f>
        <v>71868.92828486074</v>
      </c>
      <c r="C12" s="90">
        <f>'Rate Class Energy Model'!L55*'Rate Class Load Model'!C27</f>
        <v>420.26</v>
      </c>
      <c r="D12" s="6">
        <f t="shared" si="0"/>
        <v>72289.188284860735</v>
      </c>
    </row>
    <row r="13" spans="1:4" x14ac:dyDescent="0.25">
      <c r="A13" s="28">
        <v>2018</v>
      </c>
      <c r="B13" s="90">
        <f>'Rate Class Energy Model'!J56*'Rate Class Load Model'!B27</f>
        <v>72182.799461163799</v>
      </c>
      <c r="C13" s="90">
        <f>'Rate Class Energy Model'!L56*'Rate Class Load Model'!C27</f>
        <v>420.26</v>
      </c>
      <c r="D13" s="6">
        <f t="shared" si="0"/>
        <v>72603.059461163793</v>
      </c>
    </row>
    <row r="14" spans="1:4" ht="13" x14ac:dyDescent="0.3">
      <c r="A14" s="19"/>
    </row>
    <row r="15" spans="1:4" ht="12" customHeight="1" x14ac:dyDescent="0.3">
      <c r="A15" s="18" t="s">
        <v>57</v>
      </c>
      <c r="B15" s="5"/>
      <c r="C15" s="5"/>
    </row>
    <row r="16" spans="1:4" x14ac:dyDescent="0.25">
      <c r="A16" s="4">
        <v>2007</v>
      </c>
      <c r="B16" s="26">
        <f>B2/'Rate Class Energy Model'!J3</f>
        <v>2.5213326970831016E-3</v>
      </c>
      <c r="C16" s="26">
        <f>C2/'Rate Class Energy Model'!L3</f>
        <v>2.955564406589254E-3</v>
      </c>
    </row>
    <row r="17" spans="1:3" x14ac:dyDescent="0.25">
      <c r="A17" s="4">
        <v>2008</v>
      </c>
      <c r="B17" s="26">
        <f>B3/'Rate Class Energy Model'!J4</f>
        <v>2.7364887416990746E-3</v>
      </c>
      <c r="C17" s="26">
        <f>C3/'Rate Class Energy Model'!L4</f>
        <v>2.9241126987435422E-3</v>
      </c>
    </row>
    <row r="18" spans="1:3" x14ac:dyDescent="0.25">
      <c r="A18" s="4">
        <v>2009</v>
      </c>
      <c r="B18" s="26">
        <f>B4/'Rate Class Energy Model'!J5</f>
        <v>2.5799239440549215E-3</v>
      </c>
      <c r="C18" s="26">
        <f>C4/'Rate Class Energy Model'!L5</f>
        <v>3.0633163101984055E-3</v>
      </c>
    </row>
    <row r="19" spans="1:3" x14ac:dyDescent="0.25">
      <c r="A19" s="4">
        <v>2010</v>
      </c>
      <c r="B19" s="26">
        <f>B5/'Rate Class Energy Model'!J6</f>
        <v>2.8364232580517907E-3</v>
      </c>
      <c r="C19" s="26">
        <f>C5/'Rate Class Energy Model'!L6</f>
        <v>3.0911043226361486E-3</v>
      </c>
    </row>
    <row r="20" spans="1:3" x14ac:dyDescent="0.25">
      <c r="A20" s="4">
        <v>2011</v>
      </c>
      <c r="B20" s="26">
        <f>B6/'Rate Class Energy Model'!J7</f>
        <v>2.4445707240148377E-3</v>
      </c>
      <c r="C20" s="26">
        <f>C6/'Rate Class Energy Model'!L7</f>
        <v>2.9009814385337002E-3</v>
      </c>
    </row>
    <row r="21" spans="1:3" x14ac:dyDescent="0.25">
      <c r="A21" s="4">
        <v>2012</v>
      </c>
      <c r="B21" s="26">
        <f>B7/'Rate Class Energy Model'!J8</f>
        <v>2.4271869821093149E-3</v>
      </c>
      <c r="C21" s="26">
        <f>C7/'Rate Class Energy Model'!L8</f>
        <v>3.0896662524842722E-3</v>
      </c>
    </row>
    <row r="22" spans="1:3" x14ac:dyDescent="0.25">
      <c r="A22" s="4">
        <v>2013</v>
      </c>
      <c r="B22" s="26">
        <f>B8/'Rate Class Energy Model'!J9</f>
        <v>2.7659771329818571E-3</v>
      </c>
      <c r="C22" s="26">
        <f>C8/'Rate Class Energy Model'!L9</f>
        <v>2.8027624166805935E-3</v>
      </c>
    </row>
    <row r="23" spans="1:3" x14ac:dyDescent="0.25">
      <c r="A23" s="4">
        <v>2014</v>
      </c>
      <c r="B23" s="26">
        <f>B9/'Rate Class Energy Model'!J10</f>
        <v>2.8930973851873272E-3</v>
      </c>
      <c r="C23" s="26">
        <f>C9/'Rate Class Energy Model'!L10</f>
        <v>2.8001386652414875E-3</v>
      </c>
    </row>
    <row r="24" spans="1:3" x14ac:dyDescent="0.25">
      <c r="A24" s="4">
        <v>2015</v>
      </c>
      <c r="B24" s="26">
        <f>B10/'Rate Class Energy Model'!J11</f>
        <v>2.9058575110401932E-3</v>
      </c>
      <c r="C24" s="26">
        <f>C10/'Rate Class Energy Model'!L11</f>
        <v>3.1640073567705627E-3</v>
      </c>
    </row>
    <row r="25" spans="1:3" x14ac:dyDescent="0.25">
      <c r="A25" s="4">
        <v>2016</v>
      </c>
      <c r="B25" s="26">
        <f>B11/'Rate Class Energy Model'!J12</f>
        <v>2.5610302409700978E-3</v>
      </c>
      <c r="C25" s="26">
        <f>C11/'Rate Class Energy Model'!L12</f>
        <v>2.7906275658305161E-3</v>
      </c>
    </row>
    <row r="27" spans="1:3" x14ac:dyDescent="0.25">
      <c r="A27" t="s">
        <v>14</v>
      </c>
      <c r="B27" s="26">
        <f>AVERAGE(B16:B25)</f>
        <v>2.6671888617192515E-3</v>
      </c>
      <c r="C27" s="26">
        <f>C25</f>
        <v>2.7906275658305161E-3</v>
      </c>
    </row>
    <row r="29" spans="1:3" x14ac:dyDescent="0.25">
      <c r="B29" s="26"/>
      <c r="C29" s="26"/>
    </row>
    <row r="34" spans="2:3" x14ac:dyDescent="0.25">
      <c r="B34" s="24"/>
      <c r="C34" s="24"/>
    </row>
    <row r="35" spans="2:3" x14ac:dyDescent="0.25">
      <c r="B35" s="24"/>
      <c r="C35" s="24"/>
    </row>
    <row r="54" spans="2:3" x14ac:dyDescent="0.25">
      <c r="B54" s="15"/>
      <c r="C54" s="15"/>
    </row>
    <row r="55" spans="2:3" x14ac:dyDescent="0.25">
      <c r="B55" s="15"/>
      <c r="C55" s="15"/>
    </row>
  </sheetData>
  <phoneticPr fontId="0" type="noConversion"/>
  <pageMargins left="0.38" right="0.75" top="0.73" bottom="0.74" header="0.5" footer="0.5"/>
  <pageSetup scale="77"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4"/>
  <sheetViews>
    <sheetView topLeftCell="A114" workbookViewId="0">
      <selection activeCell="Z2" sqref="Z2"/>
    </sheetView>
  </sheetViews>
  <sheetFormatPr defaultRowHeight="12.5" x14ac:dyDescent="0.25"/>
  <cols>
    <col min="2" max="5" width="14.1796875" customWidth="1"/>
    <col min="6" max="6" width="12.81640625" bestFit="1" customWidth="1"/>
    <col min="7" max="7" width="13" bestFit="1" customWidth="1"/>
    <col min="8" max="8" width="12.81640625" bestFit="1" customWidth="1"/>
    <col min="9" max="10" width="10.26953125" bestFit="1" customWidth="1"/>
    <col min="15" max="15" width="1.453125" customWidth="1"/>
    <col min="17" max="17" width="10.1796875" bestFit="1" customWidth="1"/>
  </cols>
  <sheetData>
    <row r="1" spans="1:13" ht="15.5" x14ac:dyDescent="0.35">
      <c r="A1" s="39" t="s">
        <v>92</v>
      </c>
      <c r="B1" s="39"/>
      <c r="C1" s="39"/>
      <c r="D1" s="39"/>
      <c r="E1" s="39"/>
    </row>
    <row r="2" spans="1:13" ht="50" x14ac:dyDescent="0.25">
      <c r="B2" s="54" t="s">
        <v>118</v>
      </c>
      <c r="C2" s="54" t="s">
        <v>119</v>
      </c>
      <c r="D2" s="54" t="s">
        <v>120</v>
      </c>
      <c r="E2" s="54" t="s">
        <v>76</v>
      </c>
      <c r="F2" s="54" t="s">
        <v>77</v>
      </c>
    </row>
    <row r="3" spans="1:13" x14ac:dyDescent="0.25">
      <c r="F3" s="56"/>
      <c r="G3" s="56"/>
      <c r="I3" s="203" t="s">
        <v>78</v>
      </c>
      <c r="J3" s="203"/>
      <c r="L3" s="55" t="s">
        <v>79</v>
      </c>
      <c r="M3" s="55">
        <v>1</v>
      </c>
    </row>
    <row r="4" spans="1:13" x14ac:dyDescent="0.25">
      <c r="A4">
        <v>2006</v>
      </c>
      <c r="B4" s="56">
        <f>('[14]Summary - LDC'!E24-'[14]Summary - LDC'!E19/2)*1000</f>
        <v>147373.70167894135</v>
      </c>
      <c r="D4" s="56"/>
      <c r="E4" s="56">
        <f t="shared" ref="E4:E14" si="0">SUM(B4:D4)</f>
        <v>147373.70167894135</v>
      </c>
      <c r="F4" s="56">
        <f>E4</f>
        <v>147373.70167894135</v>
      </c>
      <c r="G4" s="56">
        <f t="shared" ref="G4:G14" si="1">F4/$M$15</f>
        <v>1889.4064317812993</v>
      </c>
      <c r="I4" s="57">
        <f>G30</f>
        <v>147373.70167894138</v>
      </c>
      <c r="J4" s="57">
        <f>E4-I4</f>
        <v>0</v>
      </c>
      <c r="L4" s="55" t="s">
        <v>80</v>
      </c>
      <c r="M4" s="55">
        <v>2</v>
      </c>
    </row>
    <row r="5" spans="1:13" x14ac:dyDescent="0.25">
      <c r="A5">
        <v>2007</v>
      </c>
      <c r="B5" s="56">
        <f>('[14]Summary - LDC'!F24-'[14]Summary - LDC'!F20/2)*1000</f>
        <v>393041.27379534644</v>
      </c>
      <c r="E5" s="56">
        <f t="shared" si="0"/>
        <v>393041.27379534644</v>
      </c>
      <c r="F5" s="56">
        <f>E5-H30</f>
        <v>120966.74761883932</v>
      </c>
      <c r="G5" s="56">
        <f t="shared" si="1"/>
        <v>1550.8557387030683</v>
      </c>
      <c r="I5" s="57">
        <f>G42</f>
        <v>393041.27379534638</v>
      </c>
      <c r="J5" s="57">
        <f t="shared" ref="J5:J14" si="2">E5-I5</f>
        <v>0</v>
      </c>
      <c r="L5" s="55" t="s">
        <v>81</v>
      </c>
      <c r="M5" s="55">
        <v>3</v>
      </c>
    </row>
    <row r="6" spans="1:13" x14ac:dyDescent="0.25">
      <c r="A6">
        <v>2008</v>
      </c>
      <c r="B6" s="56">
        <f>('[14]Summary - LDC'!G24-'[14]Summary - LDC'!G21/2)*1000</f>
        <v>531233.34865433839</v>
      </c>
      <c r="C6" s="56"/>
      <c r="D6" s="56"/>
      <c r="E6" s="56">
        <f t="shared" si="0"/>
        <v>531233.34865433839</v>
      </c>
      <c r="F6" s="56">
        <f>E6-H42</f>
        <v>35835.59610458964</v>
      </c>
      <c r="G6" s="56">
        <f t="shared" si="1"/>
        <v>459.43071928961075</v>
      </c>
      <c r="I6" s="57">
        <f>G54</f>
        <v>531233.34865433816</v>
      </c>
      <c r="J6" s="57">
        <f t="shared" si="2"/>
        <v>0</v>
      </c>
      <c r="L6" s="55" t="s">
        <v>82</v>
      </c>
      <c r="M6" s="55">
        <v>4</v>
      </c>
    </row>
    <row r="7" spans="1:13" x14ac:dyDescent="0.25">
      <c r="A7">
        <v>2009</v>
      </c>
      <c r="B7" s="56">
        <f>('[14]Summary - LDC'!H24-'[14]Summary - LDC'!H22/2)*1000</f>
        <v>786616.21167470224</v>
      </c>
      <c r="C7" s="56"/>
      <c r="D7" s="56"/>
      <c r="E7" s="56">
        <f t="shared" si="0"/>
        <v>786616.21167470224</v>
      </c>
      <c r="F7" s="56">
        <f>E7-H54</f>
        <v>225060.43554724986</v>
      </c>
      <c r="G7" s="56">
        <f t="shared" si="1"/>
        <v>2885.3901993237159</v>
      </c>
      <c r="I7" s="57">
        <f>G66</f>
        <v>786616.21167470212</v>
      </c>
      <c r="J7" s="57">
        <f t="shared" si="2"/>
        <v>0</v>
      </c>
      <c r="L7" s="55" t="s">
        <v>83</v>
      </c>
      <c r="M7" s="55">
        <v>5</v>
      </c>
    </row>
    <row r="8" spans="1:13" x14ac:dyDescent="0.25">
      <c r="A8">
        <v>2010</v>
      </c>
      <c r="B8" s="56">
        <f>('[14]Summary - LDC'!I24-'[14]Summary - LDC'!I23/2)*1000</f>
        <v>763856.49963815836</v>
      </c>
      <c r="C8" s="56"/>
      <c r="D8" s="56"/>
      <c r="E8" s="56">
        <f t="shared" si="0"/>
        <v>763856.49963815836</v>
      </c>
      <c r="F8" s="56">
        <f>E8-H66</f>
        <v>-213195.46519190888</v>
      </c>
      <c r="G8" s="56">
        <f t="shared" si="1"/>
        <v>-2733.2751947680626</v>
      </c>
      <c r="I8" s="57">
        <f>G78</f>
        <v>763856.4996381579</v>
      </c>
      <c r="J8" s="57">
        <f t="shared" si="2"/>
        <v>0</v>
      </c>
      <c r="L8" s="55" t="s">
        <v>84</v>
      </c>
      <c r="M8" s="55">
        <v>6</v>
      </c>
    </row>
    <row r="9" spans="1:13" x14ac:dyDescent="0.25">
      <c r="A9">
        <v>2011</v>
      </c>
      <c r="B9" s="56">
        <f>'[14]Summary - LDC'!J24*1000</f>
        <v>739735.49316654389</v>
      </c>
      <c r="C9" s="56">
        <f>'[15]LDC - Summary'!$B$19*1000000/2</f>
        <v>30500</v>
      </c>
      <c r="E9" s="56">
        <f t="shared" si="0"/>
        <v>770235.49316654389</v>
      </c>
      <c r="F9" s="56">
        <f>E9-H78</f>
        <v>186775.1563830782</v>
      </c>
      <c r="G9" s="56">
        <f t="shared" si="1"/>
        <v>2394.5532869625408</v>
      </c>
      <c r="I9" s="57">
        <f>G90</f>
        <v>770235.49316654378</v>
      </c>
      <c r="J9" s="57">
        <f t="shared" si="2"/>
        <v>0</v>
      </c>
      <c r="L9" s="55" t="s">
        <v>85</v>
      </c>
      <c r="M9" s="55">
        <v>7</v>
      </c>
    </row>
    <row r="10" spans="1:13" x14ac:dyDescent="0.25">
      <c r="A10">
        <v>2012</v>
      </c>
      <c r="B10" s="56">
        <f>'[14]Summary - LDC'!K24*1000</f>
        <v>715501.93354229536</v>
      </c>
      <c r="C10" s="56">
        <f>('[15]LDC - Summary'!$C$19+'[15]LDC - Summary'!$C$20/2)*1000000</f>
        <v>105000</v>
      </c>
      <c r="D10" s="56"/>
      <c r="E10" s="56">
        <f t="shared" si="0"/>
        <v>820501.93354229536</v>
      </c>
      <c r="F10" s="56">
        <f>E10-H90</f>
        <v>-107774.07656377624</v>
      </c>
      <c r="G10" s="56">
        <f t="shared" si="1"/>
        <v>-1381.7189303048235</v>
      </c>
      <c r="I10" s="57">
        <f>G102</f>
        <v>820501.93354229559</v>
      </c>
      <c r="J10" s="57">
        <f t="shared" si="2"/>
        <v>0</v>
      </c>
      <c r="L10" s="55" t="s">
        <v>86</v>
      </c>
      <c r="M10" s="55">
        <v>8</v>
      </c>
    </row>
    <row r="11" spans="1:13" x14ac:dyDescent="0.25">
      <c r="A11">
        <v>2013</v>
      </c>
      <c r="B11" s="56">
        <f>'[14]Summary - LDC'!L24*1000</f>
        <v>708529.45381526335</v>
      </c>
      <c r="C11" s="56">
        <f>('[15]LDC - Summary'!$D$19+'[15]LDC - Summary'!$D$20+'[15]LDC - Summary'!$D$21/2+'[15]LDC - Summary'!$D$22/2)*1000000</f>
        <v>274000</v>
      </c>
      <c r="D11" s="56"/>
      <c r="E11" s="56">
        <f t="shared" si="0"/>
        <v>982529.45381526335</v>
      </c>
      <c r="F11" s="56">
        <f>E11-H102</f>
        <v>253220.96967308607</v>
      </c>
      <c r="G11" s="56">
        <f t="shared" si="1"/>
        <v>3246.4226881164882</v>
      </c>
      <c r="I11" s="57">
        <f>G114</f>
        <v>982529.45381526358</v>
      </c>
      <c r="J11" s="57">
        <f t="shared" si="2"/>
        <v>0</v>
      </c>
      <c r="L11" s="55" t="s">
        <v>87</v>
      </c>
      <c r="M11" s="55">
        <v>9</v>
      </c>
    </row>
    <row r="12" spans="1:13" x14ac:dyDescent="0.25">
      <c r="A12">
        <v>2014</v>
      </c>
      <c r="B12" s="56">
        <f>'[14]Summary - LDC'!M24*1000</f>
        <v>659949.18569285062</v>
      </c>
      <c r="C12" s="56">
        <f>('[15]LDC - Summary'!$E$19+'[15]LDC - Summary'!$E$20+'[15]LDC - Summary'!$E$21+'[15]LDC - Summary'!$E$22/2)*1000000</f>
        <v>536000</v>
      </c>
      <c r="D12" s="56"/>
      <c r="E12" s="56">
        <f t="shared" si="0"/>
        <v>1195949.1856928505</v>
      </c>
      <c r="F12" s="56">
        <f>E12-H114</f>
        <v>-844.16553810168989</v>
      </c>
      <c r="G12" s="56">
        <f t="shared" si="1"/>
        <v>-10.822635103867819</v>
      </c>
      <c r="I12" s="57">
        <f>G126</f>
        <v>1195949.1856928512</v>
      </c>
      <c r="J12" s="57">
        <f t="shared" si="2"/>
        <v>0</v>
      </c>
      <c r="L12" s="55" t="s">
        <v>88</v>
      </c>
      <c r="M12" s="55">
        <v>10</v>
      </c>
    </row>
    <row r="13" spans="1:13" x14ac:dyDescent="0.25">
      <c r="A13">
        <v>2015</v>
      </c>
      <c r="B13" s="56">
        <f>'[14]Summary - LDC'!N24*1000</f>
        <v>376343.45075267449</v>
      </c>
      <c r="C13" s="56">
        <f>(SUM('[16]2011'!AV74:AV943) + SUM('[16]2012'!AU70:AU1310) + SUM('[16]2013'!AV411:AV1521)+ SUM('[16]2014'!AV77:AV1644))*1000</f>
        <v>665115.66552554618</v>
      </c>
      <c r="D13" s="56">
        <f>'[17]Energy Savings'!$F$33/2</f>
        <v>289883.5</v>
      </c>
      <c r="E13" s="56">
        <f t="shared" si="0"/>
        <v>1331342.6162782207</v>
      </c>
      <c r="F13" s="56">
        <f>E13-H126</f>
        <v>136107.72450222448</v>
      </c>
      <c r="G13" s="56">
        <f t="shared" si="1"/>
        <v>1744.9708269515959</v>
      </c>
      <c r="I13" s="57">
        <f>G138</f>
        <v>1331342.6162782209</v>
      </c>
      <c r="J13" s="57">
        <f t="shared" si="2"/>
        <v>0</v>
      </c>
      <c r="L13" s="55" t="s">
        <v>89</v>
      </c>
      <c r="M13" s="55">
        <v>11</v>
      </c>
    </row>
    <row r="14" spans="1:13" x14ac:dyDescent="0.25">
      <c r="A14">
        <v>2016</v>
      </c>
      <c r="B14" s="56">
        <f>'[14]Summary - LDC'!O24*1000</f>
        <v>239162.87852445367</v>
      </c>
      <c r="C14" s="56">
        <f>(SUM('[16]2011'!AW74:AW943) + SUM('[16]2012'!AV70:AV1310) + SUM('[16]2013'!AW411:AW1521)+ SUM('[16]2014'!AW77:AW1644))*1000</f>
        <v>553392.03461207799</v>
      </c>
      <c r="D14" s="56">
        <f>'[17]Energy Savings'!$G$33</f>
        <v>569306</v>
      </c>
      <c r="E14" s="56">
        <f t="shared" si="0"/>
        <v>1361860.9131365316</v>
      </c>
      <c r="F14" s="56">
        <f>E14-H138</f>
        <v>-84649.777720494661</v>
      </c>
      <c r="G14" s="56">
        <f t="shared" si="1"/>
        <v>-1085.2535605191624</v>
      </c>
      <c r="I14" s="57">
        <f>G150</f>
        <v>1361860.9131365314</v>
      </c>
      <c r="J14" s="57">
        <f t="shared" si="2"/>
        <v>0</v>
      </c>
      <c r="L14" s="55" t="s">
        <v>91</v>
      </c>
      <c r="M14" s="55">
        <v>12</v>
      </c>
    </row>
    <row r="15" spans="1:13" x14ac:dyDescent="0.25">
      <c r="A15" t="s">
        <v>10</v>
      </c>
      <c r="B15" s="56">
        <f>SUM(B4:B14)</f>
        <v>6061343.4309355682</v>
      </c>
      <c r="C15" s="56">
        <f>SUM(C4:C14)</f>
        <v>2164007.7001376245</v>
      </c>
      <c r="D15" s="56">
        <f>SUM(D4:D14)</f>
        <v>859189.5</v>
      </c>
      <c r="E15" s="56">
        <f>SUM(E4:E14)</f>
        <v>9084540.6310731918</v>
      </c>
      <c r="F15" s="56"/>
      <c r="G15" s="56"/>
      <c r="J15" s="57"/>
      <c r="L15" s="55" t="s">
        <v>10</v>
      </c>
      <c r="M15" s="55">
        <f>SUM(M3:M14)</f>
        <v>78</v>
      </c>
    </row>
    <row r="16" spans="1:13" x14ac:dyDescent="0.25">
      <c r="F16" s="56"/>
    </row>
    <row r="17" spans="1:8" x14ac:dyDescent="0.25">
      <c r="F17" s="56" t="s">
        <v>90</v>
      </c>
    </row>
    <row r="18" spans="1:8" x14ac:dyDescent="0.25">
      <c r="F18" s="56"/>
    </row>
    <row r="19" spans="1:8" x14ac:dyDescent="0.25">
      <c r="A19" s="3">
        <v>38718</v>
      </c>
      <c r="B19" s="3"/>
      <c r="C19" s="3"/>
      <c r="D19" s="3"/>
      <c r="E19" s="3"/>
      <c r="F19" s="56">
        <f>$G$4</f>
        <v>1889.4064317812993</v>
      </c>
    </row>
    <row r="20" spans="1:8" x14ac:dyDescent="0.25">
      <c r="A20" s="3">
        <v>38749</v>
      </c>
      <c r="B20" s="3"/>
      <c r="C20" s="3"/>
      <c r="D20" s="3"/>
      <c r="E20" s="3"/>
      <c r="F20" s="56">
        <f t="shared" ref="F20:F30" si="3">F19+$G$4</f>
        <v>3778.8128635625985</v>
      </c>
    </row>
    <row r="21" spans="1:8" x14ac:dyDescent="0.25">
      <c r="A21" s="3">
        <v>38777</v>
      </c>
      <c r="B21" s="3"/>
      <c r="C21" s="3"/>
      <c r="D21" s="3"/>
      <c r="E21" s="3"/>
      <c r="F21" s="56">
        <f t="shared" si="3"/>
        <v>5668.219295343898</v>
      </c>
    </row>
    <row r="22" spans="1:8" x14ac:dyDescent="0.25">
      <c r="A22" s="3">
        <v>38808</v>
      </c>
      <c r="B22" s="3"/>
      <c r="C22" s="3"/>
      <c r="D22" s="3"/>
      <c r="E22" s="3"/>
      <c r="F22" s="56">
        <f t="shared" si="3"/>
        <v>7557.625727125197</v>
      </c>
    </row>
    <row r="23" spans="1:8" x14ac:dyDescent="0.25">
      <c r="A23" s="3">
        <v>38838</v>
      </c>
      <c r="B23" s="3"/>
      <c r="C23" s="3"/>
      <c r="D23" s="3"/>
      <c r="E23" s="3"/>
      <c r="F23" s="56">
        <f t="shared" si="3"/>
        <v>9447.032158906497</v>
      </c>
    </row>
    <row r="24" spans="1:8" x14ac:dyDescent="0.25">
      <c r="A24" s="3">
        <v>38869</v>
      </c>
      <c r="B24" s="3"/>
      <c r="C24" s="3"/>
      <c r="D24" s="3"/>
      <c r="E24" s="3"/>
      <c r="F24" s="56">
        <f t="shared" si="3"/>
        <v>11336.438590687796</v>
      </c>
    </row>
    <row r="25" spans="1:8" x14ac:dyDescent="0.25">
      <c r="A25" s="3">
        <v>38899</v>
      </c>
      <c r="B25" s="3"/>
      <c r="C25" s="3"/>
      <c r="D25" s="3"/>
      <c r="E25" s="3"/>
      <c r="F25" s="56">
        <f t="shared" si="3"/>
        <v>13225.845022469095</v>
      </c>
    </row>
    <row r="26" spans="1:8" x14ac:dyDescent="0.25">
      <c r="A26" s="3">
        <v>38930</v>
      </c>
      <c r="B26" s="3"/>
      <c r="C26" s="3"/>
      <c r="D26" s="3"/>
      <c r="E26" s="3"/>
      <c r="F26" s="56">
        <f t="shared" si="3"/>
        <v>15115.251454250394</v>
      </c>
    </row>
    <row r="27" spans="1:8" x14ac:dyDescent="0.25">
      <c r="A27" s="3">
        <v>38961</v>
      </c>
      <c r="B27" s="3"/>
      <c r="C27" s="3"/>
      <c r="D27" s="3"/>
      <c r="E27" s="3"/>
      <c r="F27" s="56">
        <f t="shared" si="3"/>
        <v>17004.657886031695</v>
      </c>
    </row>
    <row r="28" spans="1:8" x14ac:dyDescent="0.25">
      <c r="A28" s="3">
        <v>38991</v>
      </c>
      <c r="B28" s="3"/>
      <c r="C28" s="3"/>
      <c r="D28" s="3"/>
      <c r="E28" s="3"/>
      <c r="F28" s="56">
        <f t="shared" si="3"/>
        <v>18894.064317812994</v>
      </c>
    </row>
    <row r="29" spans="1:8" x14ac:dyDescent="0.25">
      <c r="A29" s="3">
        <v>39022</v>
      </c>
      <c r="B29" s="3"/>
      <c r="C29" s="3"/>
      <c r="D29" s="3"/>
      <c r="E29" s="3"/>
      <c r="F29" s="56">
        <f t="shared" si="3"/>
        <v>20783.470749594293</v>
      </c>
      <c r="G29" s="4" t="s">
        <v>78</v>
      </c>
    </row>
    <row r="30" spans="1:8" x14ac:dyDescent="0.25">
      <c r="A30" s="3">
        <v>39052</v>
      </c>
      <c r="B30" s="3"/>
      <c r="C30" s="3"/>
      <c r="D30" s="3"/>
      <c r="E30" s="3"/>
      <c r="F30" s="56">
        <f t="shared" si="3"/>
        <v>22672.877181375592</v>
      </c>
      <c r="G30" s="56">
        <f>SUM(F19:F30)</f>
        <v>147373.70167894138</v>
      </c>
      <c r="H30" s="56">
        <f>F30*12</f>
        <v>272074.52617650712</v>
      </c>
    </row>
    <row r="31" spans="1:8" x14ac:dyDescent="0.25">
      <c r="A31" s="3">
        <v>39083</v>
      </c>
      <c r="B31" s="3"/>
      <c r="C31" s="3"/>
      <c r="D31" s="3"/>
      <c r="E31" s="3"/>
      <c r="F31" s="56">
        <f t="shared" ref="F31:F42" si="4">F30+$G$5</f>
        <v>24223.732920078659</v>
      </c>
      <c r="H31" s="6"/>
    </row>
    <row r="32" spans="1:8" x14ac:dyDescent="0.25">
      <c r="A32" s="3">
        <v>39114</v>
      </c>
      <c r="B32" s="3"/>
      <c r="C32" s="3"/>
      <c r="D32" s="3"/>
      <c r="E32" s="3"/>
      <c r="F32" s="56">
        <f t="shared" si="4"/>
        <v>25774.588658781726</v>
      </c>
    </row>
    <row r="33" spans="1:8" x14ac:dyDescent="0.25">
      <c r="A33" s="3">
        <v>39142</v>
      </c>
      <c r="B33" s="3"/>
      <c r="C33" s="3"/>
      <c r="D33" s="3"/>
      <c r="E33" s="3"/>
      <c r="F33" s="56">
        <f t="shared" si="4"/>
        <v>27325.444397484793</v>
      </c>
    </row>
    <row r="34" spans="1:8" x14ac:dyDescent="0.25">
      <c r="A34" s="3">
        <v>39173</v>
      </c>
      <c r="B34" s="3"/>
      <c r="C34" s="3"/>
      <c r="D34" s="3"/>
      <c r="E34" s="3"/>
      <c r="F34" s="56">
        <f t="shared" si="4"/>
        <v>28876.30013618786</v>
      </c>
    </row>
    <row r="35" spans="1:8" x14ac:dyDescent="0.25">
      <c r="A35" s="3">
        <v>39203</v>
      </c>
      <c r="B35" s="3"/>
      <c r="C35" s="3"/>
      <c r="D35" s="3"/>
      <c r="E35" s="3"/>
      <c r="F35" s="56">
        <f t="shared" si="4"/>
        <v>30427.155874890926</v>
      </c>
    </row>
    <row r="36" spans="1:8" x14ac:dyDescent="0.25">
      <c r="A36" s="3">
        <v>39234</v>
      </c>
      <c r="B36" s="3"/>
      <c r="C36" s="3"/>
      <c r="D36" s="3"/>
      <c r="E36" s="3"/>
      <c r="F36" s="56">
        <f t="shared" si="4"/>
        <v>31978.011613593993</v>
      </c>
    </row>
    <row r="37" spans="1:8" x14ac:dyDescent="0.25">
      <c r="A37" s="3">
        <v>39264</v>
      </c>
      <c r="B37" s="3"/>
      <c r="C37" s="3"/>
      <c r="D37" s="3"/>
      <c r="E37" s="3"/>
      <c r="F37" s="56">
        <f t="shared" si="4"/>
        <v>33528.867352297064</v>
      </c>
    </row>
    <row r="38" spans="1:8" x14ac:dyDescent="0.25">
      <c r="A38" s="3">
        <v>39295</v>
      </c>
      <c r="B38" s="3"/>
      <c r="C38" s="3"/>
      <c r="D38" s="3"/>
      <c r="E38" s="3"/>
      <c r="F38" s="56">
        <f t="shared" si="4"/>
        <v>35079.723091000131</v>
      </c>
    </row>
    <row r="39" spans="1:8" x14ac:dyDescent="0.25">
      <c r="A39" s="3">
        <v>39326</v>
      </c>
      <c r="B39" s="3"/>
      <c r="C39" s="3"/>
      <c r="D39" s="3"/>
      <c r="E39" s="3"/>
      <c r="F39" s="56">
        <f t="shared" si="4"/>
        <v>36630.578829703198</v>
      </c>
    </row>
    <row r="40" spans="1:8" x14ac:dyDescent="0.25">
      <c r="A40" s="3">
        <v>39356</v>
      </c>
      <c r="B40" s="3"/>
      <c r="C40" s="3"/>
      <c r="D40" s="3"/>
      <c r="E40" s="3"/>
      <c r="F40" s="56">
        <f t="shared" si="4"/>
        <v>38181.434568406265</v>
      </c>
    </row>
    <row r="41" spans="1:8" x14ac:dyDescent="0.25">
      <c r="A41" s="3">
        <v>39387</v>
      </c>
      <c r="B41" s="3"/>
      <c r="C41" s="3"/>
      <c r="D41" s="3"/>
      <c r="E41" s="3"/>
      <c r="F41" s="56">
        <f t="shared" si="4"/>
        <v>39732.290307109331</v>
      </c>
      <c r="G41" s="4" t="s">
        <v>78</v>
      </c>
    </row>
    <row r="42" spans="1:8" x14ac:dyDescent="0.25">
      <c r="A42" s="3">
        <v>39417</v>
      </c>
      <c r="B42" s="3"/>
      <c r="C42" s="3"/>
      <c r="D42" s="3"/>
      <c r="E42" s="3"/>
      <c r="F42" s="56">
        <f t="shared" si="4"/>
        <v>41283.146045812398</v>
      </c>
      <c r="G42" s="56">
        <f>SUM(F31:F42)</f>
        <v>393041.27379534638</v>
      </c>
      <c r="H42" s="56">
        <f>F42*12</f>
        <v>495397.75254974875</v>
      </c>
    </row>
    <row r="43" spans="1:8" x14ac:dyDescent="0.25">
      <c r="A43" s="3">
        <v>39448</v>
      </c>
      <c r="B43" s="3"/>
      <c r="C43" s="3"/>
      <c r="D43" s="3"/>
      <c r="E43" s="3"/>
      <c r="F43" s="56">
        <f t="shared" ref="F43:F54" si="5">F42+$G$6</f>
        <v>41742.576765102007</v>
      </c>
    </row>
    <row r="44" spans="1:8" x14ac:dyDescent="0.25">
      <c r="A44" s="3">
        <v>39479</v>
      </c>
      <c r="B44" s="3"/>
      <c r="C44" s="3"/>
      <c r="D44" s="3"/>
      <c r="E44" s="3"/>
      <c r="F44" s="56">
        <f t="shared" si="5"/>
        <v>42202.007484391615</v>
      </c>
    </row>
    <row r="45" spans="1:8" x14ac:dyDescent="0.25">
      <c r="A45" s="3">
        <v>39508</v>
      </c>
      <c r="B45" s="3"/>
      <c r="C45" s="3"/>
      <c r="D45" s="3"/>
      <c r="E45" s="3"/>
      <c r="F45" s="56">
        <f t="shared" si="5"/>
        <v>42661.438203681224</v>
      </c>
    </row>
    <row r="46" spans="1:8" x14ac:dyDescent="0.25">
      <c r="A46" s="3">
        <v>39539</v>
      </c>
      <c r="B46" s="3"/>
      <c r="C46" s="3"/>
      <c r="D46" s="3"/>
      <c r="E46" s="3"/>
      <c r="F46" s="56">
        <f t="shared" si="5"/>
        <v>43120.868922970833</v>
      </c>
    </row>
    <row r="47" spans="1:8" x14ac:dyDescent="0.25">
      <c r="A47" s="3">
        <v>39569</v>
      </c>
      <c r="B47" s="3"/>
      <c r="C47" s="3"/>
      <c r="D47" s="3"/>
      <c r="E47" s="3"/>
      <c r="F47" s="56">
        <f t="shared" si="5"/>
        <v>43580.299642260441</v>
      </c>
    </row>
    <row r="48" spans="1:8" x14ac:dyDescent="0.25">
      <c r="A48" s="3">
        <v>39600</v>
      </c>
      <c r="B48" s="3"/>
      <c r="C48" s="3"/>
      <c r="D48" s="3"/>
      <c r="E48" s="3"/>
      <c r="F48" s="56">
        <f t="shared" si="5"/>
        <v>44039.73036155005</v>
      </c>
    </row>
    <row r="49" spans="1:8" x14ac:dyDescent="0.25">
      <c r="A49" s="3">
        <v>39630</v>
      </c>
      <c r="B49" s="3"/>
      <c r="C49" s="3"/>
      <c r="D49" s="3"/>
      <c r="E49" s="3"/>
      <c r="F49" s="56">
        <f t="shared" si="5"/>
        <v>44499.161080839658</v>
      </c>
    </row>
    <row r="50" spans="1:8" x14ac:dyDescent="0.25">
      <c r="A50" s="3">
        <v>39661</v>
      </c>
      <c r="B50" s="3"/>
      <c r="C50" s="3"/>
      <c r="D50" s="3"/>
      <c r="E50" s="3"/>
      <c r="F50" s="56">
        <f t="shared" si="5"/>
        <v>44958.591800129267</v>
      </c>
    </row>
    <row r="51" spans="1:8" x14ac:dyDescent="0.25">
      <c r="A51" s="3">
        <v>39692</v>
      </c>
      <c r="B51" s="3"/>
      <c r="C51" s="3"/>
      <c r="D51" s="3"/>
      <c r="E51" s="3"/>
      <c r="F51" s="56">
        <f t="shared" si="5"/>
        <v>45418.022519418875</v>
      </c>
    </row>
    <row r="52" spans="1:8" x14ac:dyDescent="0.25">
      <c r="A52" s="3">
        <v>39722</v>
      </c>
      <c r="B52" s="3"/>
      <c r="C52" s="3"/>
      <c r="D52" s="3"/>
      <c r="E52" s="3"/>
      <c r="F52" s="56">
        <f t="shared" si="5"/>
        <v>45877.453238708484</v>
      </c>
    </row>
    <row r="53" spans="1:8" x14ac:dyDescent="0.25">
      <c r="A53" s="3">
        <v>39753</v>
      </c>
      <c r="B53" s="3"/>
      <c r="C53" s="3"/>
      <c r="D53" s="3"/>
      <c r="E53" s="3"/>
      <c r="F53" s="56">
        <f t="shared" si="5"/>
        <v>46336.883957998092</v>
      </c>
    </row>
    <row r="54" spans="1:8" x14ac:dyDescent="0.25">
      <c r="A54" s="3">
        <v>39783</v>
      </c>
      <c r="B54" s="3"/>
      <c r="C54" s="3"/>
      <c r="D54" s="3"/>
      <c r="E54" s="3"/>
      <c r="F54" s="56">
        <f t="shared" si="5"/>
        <v>46796.314677287701</v>
      </c>
      <c r="G54" s="56">
        <f>SUM(F43:F54)</f>
        <v>531233.34865433816</v>
      </c>
      <c r="H54" s="56">
        <f>F54*12</f>
        <v>561555.77612745238</v>
      </c>
    </row>
    <row r="55" spans="1:8" x14ac:dyDescent="0.25">
      <c r="A55" s="3">
        <v>39814</v>
      </c>
      <c r="B55" s="3"/>
      <c r="C55" s="3"/>
      <c r="D55" s="3"/>
      <c r="E55" s="3"/>
      <c r="F55" s="56">
        <f t="shared" ref="F55:F66" si="6">F54+$G$7</f>
        <v>49681.704876611417</v>
      </c>
    </row>
    <row r="56" spans="1:8" x14ac:dyDescent="0.25">
      <c r="A56" s="3">
        <v>39845</v>
      </c>
      <c r="B56" s="3"/>
      <c r="C56" s="3"/>
      <c r="D56" s="3"/>
      <c r="E56" s="3"/>
      <c r="F56" s="56">
        <f t="shared" si="6"/>
        <v>52567.095075935133</v>
      </c>
    </row>
    <row r="57" spans="1:8" x14ac:dyDescent="0.25">
      <c r="A57" s="3">
        <v>39873</v>
      </c>
      <c r="B57" s="3"/>
      <c r="C57" s="3"/>
      <c r="D57" s="3"/>
      <c r="E57" s="3"/>
      <c r="F57" s="56">
        <f t="shared" si="6"/>
        <v>55452.485275258849</v>
      </c>
    </row>
    <row r="58" spans="1:8" x14ac:dyDescent="0.25">
      <c r="A58" s="3">
        <v>39904</v>
      </c>
      <c r="B58" s="3"/>
      <c r="C58" s="3"/>
      <c r="D58" s="3"/>
      <c r="E58" s="3"/>
      <c r="F58" s="56">
        <f t="shared" si="6"/>
        <v>58337.875474582564</v>
      </c>
    </row>
    <row r="59" spans="1:8" x14ac:dyDescent="0.25">
      <c r="A59" s="3">
        <v>39934</v>
      </c>
      <c r="B59" s="3"/>
      <c r="C59" s="3"/>
      <c r="D59" s="3"/>
      <c r="E59" s="3"/>
      <c r="F59" s="56">
        <f t="shared" si="6"/>
        <v>61223.26567390628</v>
      </c>
    </row>
    <row r="60" spans="1:8" x14ac:dyDescent="0.25">
      <c r="A60" s="3">
        <v>39965</v>
      </c>
      <c r="B60" s="3"/>
      <c r="C60" s="3"/>
      <c r="D60" s="3"/>
      <c r="E60" s="3"/>
      <c r="F60" s="56">
        <f t="shared" si="6"/>
        <v>64108.655873229996</v>
      </c>
    </row>
    <row r="61" spans="1:8" x14ac:dyDescent="0.25">
      <c r="A61" s="3">
        <v>39995</v>
      </c>
      <c r="B61" s="3"/>
      <c r="C61" s="3"/>
      <c r="D61" s="3"/>
      <c r="E61" s="3"/>
      <c r="F61" s="56">
        <f t="shared" si="6"/>
        <v>66994.046072553712</v>
      </c>
    </row>
    <row r="62" spans="1:8" x14ac:dyDescent="0.25">
      <c r="A62" s="3">
        <v>40026</v>
      </c>
      <c r="B62" s="3"/>
      <c r="C62" s="3"/>
      <c r="D62" s="3"/>
      <c r="E62" s="3"/>
      <c r="F62" s="56">
        <f t="shared" si="6"/>
        <v>69879.436271877436</v>
      </c>
    </row>
    <row r="63" spans="1:8" x14ac:dyDescent="0.25">
      <c r="A63" s="3">
        <v>40057</v>
      </c>
      <c r="B63" s="3"/>
      <c r="C63" s="3"/>
      <c r="D63" s="3"/>
      <c r="E63" s="3"/>
      <c r="F63" s="56">
        <f t="shared" si="6"/>
        <v>72764.826471201144</v>
      </c>
    </row>
    <row r="64" spans="1:8" x14ac:dyDescent="0.25">
      <c r="A64" s="3">
        <v>40087</v>
      </c>
      <c r="B64" s="3"/>
      <c r="C64" s="3"/>
      <c r="D64" s="3"/>
      <c r="E64" s="3"/>
      <c r="F64" s="56">
        <f t="shared" si="6"/>
        <v>75650.216670524853</v>
      </c>
    </row>
    <row r="65" spans="1:8" x14ac:dyDescent="0.25">
      <c r="A65" s="3">
        <v>40118</v>
      </c>
      <c r="B65" s="3"/>
      <c r="C65" s="3"/>
      <c r="D65" s="3"/>
      <c r="E65" s="3"/>
      <c r="F65" s="56">
        <f t="shared" si="6"/>
        <v>78535.606869848561</v>
      </c>
    </row>
    <row r="66" spans="1:8" x14ac:dyDescent="0.25">
      <c r="A66" s="3">
        <v>40148</v>
      </c>
      <c r="B66" s="3"/>
      <c r="C66" s="3"/>
      <c r="D66" s="3"/>
      <c r="E66" s="3"/>
      <c r="F66" s="56">
        <f t="shared" si="6"/>
        <v>81420.99706917227</v>
      </c>
      <c r="G66" s="56">
        <f>SUM(F55:F66)</f>
        <v>786616.21167470212</v>
      </c>
      <c r="H66" s="56">
        <f>F66*12</f>
        <v>977051.96483006724</v>
      </c>
    </row>
    <row r="67" spans="1:8" x14ac:dyDescent="0.25">
      <c r="A67" s="3">
        <v>40179</v>
      </c>
      <c r="B67" s="3"/>
      <c r="C67" s="3"/>
      <c r="D67" s="3"/>
      <c r="E67" s="3"/>
      <c r="F67" s="56">
        <f t="shared" ref="F67:F78" si="7">F66+$G$8</f>
        <v>78687.721874404204</v>
      </c>
    </row>
    <row r="68" spans="1:8" x14ac:dyDescent="0.25">
      <c r="A68" s="3">
        <v>40210</v>
      </c>
      <c r="B68" s="3"/>
      <c r="C68" s="3"/>
      <c r="D68" s="3"/>
      <c r="E68" s="3"/>
      <c r="F68" s="56">
        <f t="shared" si="7"/>
        <v>75954.446679636138</v>
      </c>
    </row>
    <row r="69" spans="1:8" x14ac:dyDescent="0.25">
      <c r="A69" s="3">
        <v>40238</v>
      </c>
      <c r="B69" s="3"/>
      <c r="C69" s="3"/>
      <c r="D69" s="3"/>
      <c r="E69" s="3"/>
      <c r="F69" s="56">
        <f t="shared" si="7"/>
        <v>73221.171484868071</v>
      </c>
    </row>
    <row r="70" spans="1:8" x14ac:dyDescent="0.25">
      <c r="A70" s="3">
        <v>40269</v>
      </c>
      <c r="B70" s="3"/>
      <c r="C70" s="3"/>
      <c r="D70" s="3"/>
      <c r="E70" s="3"/>
      <c r="F70" s="56">
        <f t="shared" si="7"/>
        <v>70487.896290100005</v>
      </c>
    </row>
    <row r="71" spans="1:8" x14ac:dyDescent="0.25">
      <c r="A71" s="3">
        <v>40299</v>
      </c>
      <c r="B71" s="3"/>
      <c r="C71" s="3"/>
      <c r="D71" s="3"/>
      <c r="E71" s="3"/>
      <c r="F71" s="56">
        <f t="shared" si="7"/>
        <v>67754.621095331939</v>
      </c>
    </row>
    <row r="72" spans="1:8" x14ac:dyDescent="0.25">
      <c r="A72" s="3">
        <v>40330</v>
      </c>
      <c r="B72" s="3"/>
      <c r="C72" s="3"/>
      <c r="D72" s="3"/>
      <c r="E72" s="3"/>
      <c r="F72" s="56">
        <f t="shared" si="7"/>
        <v>65021.345900563872</v>
      </c>
    </row>
    <row r="73" spans="1:8" x14ac:dyDescent="0.25">
      <c r="A73" s="3">
        <v>40360</v>
      </c>
      <c r="B73" s="3"/>
      <c r="C73" s="3"/>
      <c r="D73" s="3"/>
      <c r="E73" s="3"/>
      <c r="F73" s="56">
        <f t="shared" si="7"/>
        <v>62288.070705795806</v>
      </c>
    </row>
    <row r="74" spans="1:8" x14ac:dyDescent="0.25">
      <c r="A74" s="3">
        <v>40391</v>
      </c>
      <c r="B74" s="3"/>
      <c r="C74" s="3"/>
      <c r="D74" s="3"/>
      <c r="E74" s="3"/>
      <c r="F74" s="56">
        <f t="shared" si="7"/>
        <v>59554.79551102774</v>
      </c>
    </row>
    <row r="75" spans="1:8" x14ac:dyDescent="0.25">
      <c r="A75" s="3">
        <v>40422</v>
      </c>
      <c r="B75" s="3"/>
      <c r="C75" s="3"/>
      <c r="D75" s="3"/>
      <c r="E75" s="3"/>
      <c r="F75" s="56">
        <f t="shared" si="7"/>
        <v>56821.520316259674</v>
      </c>
    </row>
    <row r="76" spans="1:8" x14ac:dyDescent="0.25">
      <c r="A76" s="3">
        <v>40452</v>
      </c>
      <c r="B76" s="3"/>
      <c r="C76" s="3"/>
      <c r="D76" s="3"/>
      <c r="E76" s="3"/>
      <c r="F76" s="56">
        <f t="shared" si="7"/>
        <v>54088.245121491607</v>
      </c>
    </row>
    <row r="77" spans="1:8" x14ac:dyDescent="0.25">
      <c r="A77" s="3">
        <v>40483</v>
      </c>
      <c r="B77" s="3"/>
      <c r="C77" s="3"/>
      <c r="D77" s="3"/>
      <c r="E77" s="3"/>
      <c r="F77" s="56">
        <f t="shared" si="7"/>
        <v>51354.969926723541</v>
      </c>
    </row>
    <row r="78" spans="1:8" x14ac:dyDescent="0.25">
      <c r="A78" s="3">
        <v>40513</v>
      </c>
      <c r="B78" s="3"/>
      <c r="C78" s="3"/>
      <c r="D78" s="3"/>
      <c r="E78" s="3"/>
      <c r="F78" s="56">
        <f t="shared" si="7"/>
        <v>48621.694731955475</v>
      </c>
      <c r="G78" s="56">
        <f>SUM(F67:F78)</f>
        <v>763856.4996381579</v>
      </c>
      <c r="H78" s="56">
        <f>F78*12</f>
        <v>583460.3367834657</v>
      </c>
    </row>
    <row r="79" spans="1:8" x14ac:dyDescent="0.25">
      <c r="A79" s="3">
        <v>40544</v>
      </c>
      <c r="B79" s="3"/>
      <c r="C79" s="3"/>
      <c r="D79" s="3"/>
      <c r="E79" s="3"/>
      <c r="F79" s="56">
        <f t="shared" ref="F79:F90" si="8">F78+$G$9</f>
        <v>51016.248018918013</v>
      </c>
    </row>
    <row r="80" spans="1:8" x14ac:dyDescent="0.25">
      <c r="A80" s="3">
        <v>40575</v>
      </c>
      <c r="B80" s="3"/>
      <c r="C80" s="3"/>
      <c r="D80" s="3"/>
      <c r="E80" s="3"/>
      <c r="F80" s="56">
        <f t="shared" si="8"/>
        <v>53410.801305880552</v>
      </c>
    </row>
    <row r="81" spans="1:8" x14ac:dyDescent="0.25">
      <c r="A81" s="3">
        <v>40603</v>
      </c>
      <c r="B81" s="3"/>
      <c r="C81" s="3"/>
      <c r="D81" s="3"/>
      <c r="E81" s="3"/>
      <c r="F81" s="56">
        <f t="shared" si="8"/>
        <v>55805.35459284309</v>
      </c>
    </row>
    <row r="82" spans="1:8" x14ac:dyDescent="0.25">
      <c r="A82" s="3">
        <v>40634</v>
      </c>
      <c r="B82" s="3"/>
      <c r="C82" s="3"/>
      <c r="D82" s="3"/>
      <c r="E82" s="3"/>
      <c r="F82" s="56">
        <f t="shared" si="8"/>
        <v>58199.907879805629</v>
      </c>
    </row>
    <row r="83" spans="1:8" x14ac:dyDescent="0.25">
      <c r="A83" s="3">
        <v>40664</v>
      </c>
      <c r="B83" s="3"/>
      <c r="C83" s="3"/>
      <c r="D83" s="3"/>
      <c r="E83" s="3"/>
      <c r="F83" s="56">
        <f t="shared" si="8"/>
        <v>60594.461166768167</v>
      </c>
    </row>
    <row r="84" spans="1:8" x14ac:dyDescent="0.25">
      <c r="A84" s="3">
        <v>40695</v>
      </c>
      <c r="B84" s="3"/>
      <c r="C84" s="3"/>
      <c r="D84" s="3"/>
      <c r="E84" s="3"/>
      <c r="F84" s="56">
        <f t="shared" si="8"/>
        <v>62989.014453730706</v>
      </c>
    </row>
    <row r="85" spans="1:8" x14ac:dyDescent="0.25">
      <c r="A85" s="3">
        <v>40725</v>
      </c>
      <c r="B85" s="3"/>
      <c r="C85" s="3"/>
      <c r="D85" s="3"/>
      <c r="E85" s="3"/>
      <c r="F85" s="56">
        <f t="shared" si="8"/>
        <v>65383.567740693245</v>
      </c>
    </row>
    <row r="86" spans="1:8" x14ac:dyDescent="0.25">
      <c r="A86" s="3">
        <v>40756</v>
      </c>
      <c r="B86" s="3"/>
      <c r="C86" s="3"/>
      <c r="D86" s="3"/>
      <c r="E86" s="3"/>
      <c r="F86" s="56">
        <f t="shared" si="8"/>
        <v>67778.121027655783</v>
      </c>
    </row>
    <row r="87" spans="1:8" x14ac:dyDescent="0.25">
      <c r="A87" s="3">
        <v>40787</v>
      </c>
      <c r="B87" s="3"/>
      <c r="C87" s="3"/>
      <c r="D87" s="3"/>
      <c r="E87" s="3"/>
      <c r="F87" s="56">
        <f t="shared" si="8"/>
        <v>70172.674314618329</v>
      </c>
    </row>
    <row r="88" spans="1:8" x14ac:dyDescent="0.25">
      <c r="A88" s="3">
        <v>40817</v>
      </c>
      <c r="B88" s="3"/>
      <c r="C88" s="3"/>
      <c r="D88" s="3"/>
      <c r="E88" s="3"/>
      <c r="F88" s="56">
        <f t="shared" si="8"/>
        <v>72567.227601580875</v>
      </c>
    </row>
    <row r="89" spans="1:8" x14ac:dyDescent="0.25">
      <c r="A89" s="3">
        <v>40848</v>
      </c>
      <c r="B89" s="3"/>
      <c r="C89" s="3"/>
      <c r="D89" s="3"/>
      <c r="E89" s="3"/>
      <c r="F89" s="56">
        <f t="shared" si="8"/>
        <v>74961.780888543421</v>
      </c>
    </row>
    <row r="90" spans="1:8" x14ac:dyDescent="0.25">
      <c r="A90" s="3">
        <v>40878</v>
      </c>
      <c r="B90" s="3"/>
      <c r="C90" s="3"/>
      <c r="D90" s="3"/>
      <c r="E90" s="3"/>
      <c r="F90" s="56">
        <f t="shared" si="8"/>
        <v>77356.334175505966</v>
      </c>
      <c r="G90" s="56">
        <f>SUM(F79:F90)</f>
        <v>770235.49316654378</v>
      </c>
      <c r="H90" s="56">
        <f>F90*12</f>
        <v>928276.0101060716</v>
      </c>
    </row>
    <row r="91" spans="1:8" x14ac:dyDescent="0.25">
      <c r="A91" s="3">
        <v>40909</v>
      </c>
      <c r="B91" s="3"/>
      <c r="C91" s="3"/>
      <c r="D91" s="3"/>
      <c r="E91" s="3"/>
      <c r="F91" s="56">
        <f t="shared" ref="F91:F102" si="9">F90+$G$10</f>
        <v>75974.615245201145</v>
      </c>
    </row>
    <row r="92" spans="1:8" x14ac:dyDescent="0.25">
      <c r="A92" s="3">
        <v>40940</v>
      </c>
      <c r="B92" s="3"/>
      <c r="C92" s="3"/>
      <c r="D92" s="3"/>
      <c r="E92" s="3"/>
      <c r="F92" s="56">
        <f t="shared" si="9"/>
        <v>74592.896314896323</v>
      </c>
    </row>
    <row r="93" spans="1:8" x14ac:dyDescent="0.25">
      <c r="A93" s="3">
        <v>40969</v>
      </c>
      <c r="B93" s="3"/>
      <c r="C93" s="3"/>
      <c r="D93" s="3"/>
      <c r="E93" s="3"/>
      <c r="F93" s="56">
        <f t="shared" si="9"/>
        <v>73211.177384591501</v>
      </c>
    </row>
    <row r="94" spans="1:8" x14ac:dyDescent="0.25">
      <c r="A94" s="3">
        <v>41000</v>
      </c>
      <c r="B94" s="3"/>
      <c r="C94" s="3"/>
      <c r="D94" s="3"/>
      <c r="E94" s="3"/>
      <c r="F94" s="56">
        <f t="shared" si="9"/>
        <v>71829.45845428668</v>
      </c>
    </row>
    <row r="95" spans="1:8" x14ac:dyDescent="0.25">
      <c r="A95" s="3">
        <v>41030</v>
      </c>
      <c r="B95" s="3"/>
      <c r="C95" s="3"/>
      <c r="D95" s="3"/>
      <c r="E95" s="3"/>
      <c r="F95" s="56">
        <f t="shared" si="9"/>
        <v>70447.739523981858</v>
      </c>
    </row>
    <row r="96" spans="1:8" x14ac:dyDescent="0.25">
      <c r="A96" s="3">
        <v>41061</v>
      </c>
      <c r="B96" s="3"/>
      <c r="C96" s="3"/>
      <c r="D96" s="3"/>
      <c r="E96" s="3"/>
      <c r="F96" s="56">
        <f t="shared" si="9"/>
        <v>69066.020593677036</v>
      </c>
    </row>
    <row r="97" spans="1:8" x14ac:dyDescent="0.25">
      <c r="A97" s="3">
        <v>41091</v>
      </c>
      <c r="B97" s="3"/>
      <c r="C97" s="3"/>
      <c r="D97" s="3"/>
      <c r="E97" s="3"/>
      <c r="F97" s="56">
        <f t="shared" si="9"/>
        <v>67684.301663372215</v>
      </c>
    </row>
    <row r="98" spans="1:8" x14ac:dyDescent="0.25">
      <c r="A98" s="3">
        <v>41122</v>
      </c>
      <c r="B98" s="3"/>
      <c r="C98" s="3"/>
      <c r="D98" s="3"/>
      <c r="E98" s="3"/>
      <c r="F98" s="56">
        <f t="shared" si="9"/>
        <v>66302.582733067393</v>
      </c>
    </row>
    <row r="99" spans="1:8" x14ac:dyDescent="0.25">
      <c r="A99" s="3">
        <v>41153</v>
      </c>
      <c r="B99" s="3"/>
      <c r="C99" s="3"/>
      <c r="D99" s="3"/>
      <c r="E99" s="3"/>
      <c r="F99" s="56">
        <f t="shared" si="9"/>
        <v>64920.863802762571</v>
      </c>
    </row>
    <row r="100" spans="1:8" x14ac:dyDescent="0.25">
      <c r="A100" s="3">
        <v>41183</v>
      </c>
      <c r="B100" s="3"/>
      <c r="C100" s="3"/>
      <c r="D100" s="3"/>
      <c r="E100" s="3"/>
      <c r="F100" s="56">
        <f t="shared" si="9"/>
        <v>63539.144872457749</v>
      </c>
    </row>
    <row r="101" spans="1:8" x14ac:dyDescent="0.25">
      <c r="A101" s="3">
        <v>41214</v>
      </c>
      <c r="B101" s="3"/>
      <c r="C101" s="3"/>
      <c r="D101" s="3"/>
      <c r="E101" s="3"/>
      <c r="F101" s="56">
        <f t="shared" si="9"/>
        <v>62157.425942152928</v>
      </c>
    </row>
    <row r="102" spans="1:8" x14ac:dyDescent="0.25">
      <c r="A102" s="3">
        <v>41244</v>
      </c>
      <c r="B102" s="3"/>
      <c r="C102" s="3"/>
      <c r="D102" s="3"/>
      <c r="E102" s="3"/>
      <c r="F102" s="56">
        <f t="shared" si="9"/>
        <v>60775.707011848106</v>
      </c>
      <c r="G102" s="56">
        <f>SUM(F91:F102)</f>
        <v>820501.93354229559</v>
      </c>
      <c r="H102" s="56">
        <f>F102*12</f>
        <v>729308.48414217727</v>
      </c>
    </row>
    <row r="103" spans="1:8" x14ac:dyDescent="0.25">
      <c r="A103" s="3">
        <v>41275</v>
      </c>
      <c r="B103" s="3"/>
      <c r="C103" s="3"/>
      <c r="D103" s="3"/>
      <c r="E103" s="3"/>
      <c r="F103" s="56">
        <f t="shared" ref="F103:F114" si="10">F102+$G$11</f>
        <v>64022.129699964593</v>
      </c>
    </row>
    <row r="104" spans="1:8" x14ac:dyDescent="0.25">
      <c r="A104" s="3">
        <v>41306</v>
      </c>
      <c r="B104" s="3"/>
      <c r="C104" s="3"/>
      <c r="D104" s="3"/>
      <c r="E104" s="3"/>
      <c r="F104" s="56">
        <f t="shared" si="10"/>
        <v>67268.55238808108</v>
      </c>
    </row>
    <row r="105" spans="1:8" x14ac:dyDescent="0.25">
      <c r="A105" s="3">
        <v>41334</v>
      </c>
      <c r="B105" s="3"/>
      <c r="C105" s="3"/>
      <c r="D105" s="3"/>
      <c r="E105" s="3"/>
      <c r="F105" s="56">
        <f t="shared" si="10"/>
        <v>70514.975076197574</v>
      </c>
    </row>
    <row r="106" spans="1:8" x14ac:dyDescent="0.25">
      <c r="A106" s="3">
        <v>41365</v>
      </c>
      <c r="B106" s="3"/>
      <c r="C106" s="3"/>
      <c r="D106" s="3"/>
      <c r="E106" s="3"/>
      <c r="F106" s="56">
        <f t="shared" si="10"/>
        <v>73761.397764314068</v>
      </c>
    </row>
    <row r="107" spans="1:8" x14ac:dyDescent="0.25">
      <c r="A107" s="3">
        <v>41395</v>
      </c>
      <c r="B107" s="3"/>
      <c r="C107" s="3"/>
      <c r="D107" s="3"/>
      <c r="E107" s="3"/>
      <c r="F107" s="56">
        <f t="shared" si="10"/>
        <v>77007.820452430562</v>
      </c>
    </row>
    <row r="108" spans="1:8" x14ac:dyDescent="0.25">
      <c r="A108" s="3">
        <v>41426</v>
      </c>
      <c r="B108" s="3"/>
      <c r="C108" s="3"/>
      <c r="D108" s="3"/>
      <c r="E108" s="3"/>
      <c r="F108" s="56">
        <f t="shared" si="10"/>
        <v>80254.243140547056</v>
      </c>
    </row>
    <row r="109" spans="1:8" x14ac:dyDescent="0.25">
      <c r="A109" s="3">
        <v>41456</v>
      </c>
      <c r="B109" s="3"/>
      <c r="C109" s="3"/>
      <c r="D109" s="3"/>
      <c r="E109" s="3"/>
      <c r="F109" s="56">
        <f t="shared" si="10"/>
        <v>83500.66582866355</v>
      </c>
    </row>
    <row r="110" spans="1:8" x14ac:dyDescent="0.25">
      <c r="A110" s="3">
        <v>41487</v>
      </c>
      <c r="B110" s="3"/>
      <c r="C110" s="3"/>
      <c r="D110" s="3"/>
      <c r="E110" s="3"/>
      <c r="F110" s="56">
        <f t="shared" si="10"/>
        <v>86747.088516780044</v>
      </c>
    </row>
    <row r="111" spans="1:8" x14ac:dyDescent="0.25">
      <c r="A111" s="3">
        <v>41518</v>
      </c>
      <c r="B111" s="3"/>
      <c r="C111" s="3"/>
      <c r="D111" s="3"/>
      <c r="E111" s="3"/>
      <c r="F111" s="56">
        <f t="shared" si="10"/>
        <v>89993.511204896538</v>
      </c>
    </row>
    <row r="112" spans="1:8" x14ac:dyDescent="0.25">
      <c r="A112" s="3">
        <v>41548</v>
      </c>
      <c r="B112" s="3"/>
      <c r="C112" s="3"/>
      <c r="D112" s="3"/>
      <c r="E112" s="3"/>
      <c r="F112" s="56">
        <f t="shared" si="10"/>
        <v>93239.933893013033</v>
      </c>
    </row>
    <row r="113" spans="1:8" x14ac:dyDescent="0.25">
      <c r="A113" s="3">
        <v>41579</v>
      </c>
      <c r="B113" s="3"/>
      <c r="C113" s="3"/>
      <c r="D113" s="3"/>
      <c r="E113" s="3"/>
      <c r="F113" s="56">
        <f t="shared" si="10"/>
        <v>96486.356581129527</v>
      </c>
    </row>
    <row r="114" spans="1:8" x14ac:dyDescent="0.25">
      <c r="A114" s="3">
        <v>41609</v>
      </c>
      <c r="B114" s="3"/>
      <c r="C114" s="3"/>
      <c r="D114" s="3"/>
      <c r="E114" s="3"/>
      <c r="F114" s="56">
        <f t="shared" si="10"/>
        <v>99732.779269246021</v>
      </c>
      <c r="G114" s="56">
        <f>SUM(F103:F114)</f>
        <v>982529.45381526358</v>
      </c>
      <c r="H114" s="56">
        <f>F114*12</f>
        <v>1196793.3512309522</v>
      </c>
    </row>
    <row r="115" spans="1:8" x14ac:dyDescent="0.25">
      <c r="A115" s="3">
        <v>41640</v>
      </c>
      <c r="F115" s="56">
        <f>F114+$G$12</f>
        <v>99721.95663414216</v>
      </c>
    </row>
    <row r="116" spans="1:8" x14ac:dyDescent="0.25">
      <c r="A116" s="3">
        <v>41671</v>
      </c>
      <c r="F116" s="56">
        <f t="shared" ref="F116:F126" si="11">F115+$G$12</f>
        <v>99711.133999038298</v>
      </c>
    </row>
    <row r="117" spans="1:8" x14ac:dyDescent="0.25">
      <c r="A117" s="3">
        <v>41699</v>
      </c>
      <c r="F117" s="56">
        <f t="shared" si="11"/>
        <v>99700.311363934437</v>
      </c>
    </row>
    <row r="118" spans="1:8" x14ac:dyDescent="0.25">
      <c r="A118" s="3">
        <v>41730</v>
      </c>
      <c r="F118" s="56">
        <f t="shared" si="11"/>
        <v>99689.488728830576</v>
      </c>
    </row>
    <row r="119" spans="1:8" x14ac:dyDescent="0.25">
      <c r="A119" s="3">
        <v>41760</v>
      </c>
      <c r="F119" s="56">
        <f t="shared" si="11"/>
        <v>99678.666093726715</v>
      </c>
    </row>
    <row r="120" spans="1:8" x14ac:dyDescent="0.25">
      <c r="A120" s="3">
        <v>41791</v>
      </c>
      <c r="F120" s="56">
        <f t="shared" si="11"/>
        <v>99667.843458622854</v>
      </c>
    </row>
    <row r="121" spans="1:8" x14ac:dyDescent="0.25">
      <c r="A121" s="3">
        <v>41821</v>
      </c>
      <c r="F121" s="56">
        <f t="shared" si="11"/>
        <v>99657.020823518993</v>
      </c>
    </row>
    <row r="122" spans="1:8" x14ac:dyDescent="0.25">
      <c r="A122" s="3">
        <v>41852</v>
      </c>
      <c r="F122" s="56">
        <f t="shared" si="11"/>
        <v>99646.198188415132</v>
      </c>
    </row>
    <row r="123" spans="1:8" x14ac:dyDescent="0.25">
      <c r="A123" s="3">
        <v>41883</v>
      </c>
      <c r="F123" s="56">
        <f t="shared" si="11"/>
        <v>99635.375553311271</v>
      </c>
    </row>
    <row r="124" spans="1:8" x14ac:dyDescent="0.25">
      <c r="A124" s="3">
        <v>41913</v>
      </c>
      <c r="F124" s="56">
        <f t="shared" si="11"/>
        <v>99624.55291820741</v>
      </c>
    </row>
    <row r="125" spans="1:8" x14ac:dyDescent="0.25">
      <c r="A125" s="3">
        <v>41944</v>
      </c>
      <c r="F125" s="56">
        <f t="shared" si="11"/>
        <v>99613.730283103549</v>
      </c>
    </row>
    <row r="126" spans="1:8" x14ac:dyDescent="0.25">
      <c r="A126" s="3">
        <v>41974</v>
      </c>
      <c r="F126" s="56">
        <f t="shared" si="11"/>
        <v>99602.907647999687</v>
      </c>
      <c r="G126" s="56">
        <f>SUM(F115:F126)</f>
        <v>1195949.1856928512</v>
      </c>
      <c r="H126" s="56">
        <f>F126*12</f>
        <v>1195234.8917759962</v>
      </c>
    </row>
    <row r="127" spans="1:8" x14ac:dyDescent="0.25">
      <c r="A127" s="3">
        <v>42005</v>
      </c>
      <c r="F127" s="56">
        <f>F126+$G$13</f>
        <v>101347.87847495129</v>
      </c>
    </row>
    <row r="128" spans="1:8" x14ac:dyDescent="0.25">
      <c r="A128" s="3">
        <v>42036</v>
      </c>
      <c r="F128" s="56">
        <f t="shared" ref="F128:F138" si="12">F127+$G$13</f>
        <v>103092.84930190288</v>
      </c>
    </row>
    <row r="129" spans="1:8" x14ac:dyDescent="0.25">
      <c r="A129" s="3">
        <v>42064</v>
      </c>
      <c r="F129" s="56">
        <f t="shared" si="12"/>
        <v>104837.82012885448</v>
      </c>
    </row>
    <row r="130" spans="1:8" x14ac:dyDescent="0.25">
      <c r="A130" s="3">
        <v>42095</v>
      </c>
      <c r="F130" s="56">
        <f t="shared" si="12"/>
        <v>106582.79095580608</v>
      </c>
    </row>
    <row r="131" spans="1:8" x14ac:dyDescent="0.25">
      <c r="A131" s="3">
        <v>42125</v>
      </c>
      <c r="F131" s="56">
        <f t="shared" si="12"/>
        <v>108327.76178275768</v>
      </c>
    </row>
    <row r="132" spans="1:8" x14ac:dyDescent="0.25">
      <c r="A132" s="3">
        <v>42156</v>
      </c>
      <c r="F132" s="56">
        <f t="shared" si="12"/>
        <v>110072.73260970927</v>
      </c>
    </row>
    <row r="133" spans="1:8" x14ac:dyDescent="0.25">
      <c r="A133" s="3">
        <v>42186</v>
      </c>
      <c r="F133" s="56">
        <f t="shared" si="12"/>
        <v>111817.70343666087</v>
      </c>
    </row>
    <row r="134" spans="1:8" x14ac:dyDescent="0.25">
      <c r="A134" s="3">
        <v>42217</v>
      </c>
      <c r="F134" s="56">
        <f t="shared" si="12"/>
        <v>113562.67426361247</v>
      </c>
    </row>
    <row r="135" spans="1:8" x14ac:dyDescent="0.25">
      <c r="A135" s="3">
        <v>42248</v>
      </c>
      <c r="F135" s="56">
        <f t="shared" si="12"/>
        <v>115307.64509056407</v>
      </c>
    </row>
    <row r="136" spans="1:8" x14ac:dyDescent="0.25">
      <c r="A136" s="3">
        <v>42278</v>
      </c>
      <c r="F136" s="56">
        <f t="shared" si="12"/>
        <v>117052.61591751566</v>
      </c>
    </row>
    <row r="137" spans="1:8" x14ac:dyDescent="0.25">
      <c r="A137" s="3">
        <v>42309</v>
      </c>
      <c r="F137" s="56">
        <f t="shared" si="12"/>
        <v>118797.58674446726</v>
      </c>
    </row>
    <row r="138" spans="1:8" x14ac:dyDescent="0.25">
      <c r="A138" s="3">
        <v>42339</v>
      </c>
      <c r="F138" s="56">
        <f t="shared" si="12"/>
        <v>120542.55757141886</v>
      </c>
      <c r="G138" s="56">
        <f>SUM(F127:F138)</f>
        <v>1331342.6162782209</v>
      </c>
      <c r="H138" s="56">
        <f>F138*12</f>
        <v>1446510.6908570263</v>
      </c>
    </row>
    <row r="139" spans="1:8" x14ac:dyDescent="0.25">
      <c r="A139" s="3">
        <v>42370</v>
      </c>
      <c r="F139" s="56">
        <f>F138+$G$14</f>
        <v>119457.30401089969</v>
      </c>
    </row>
    <row r="140" spans="1:8" x14ac:dyDescent="0.25">
      <c r="A140" s="3">
        <v>42401</v>
      </c>
      <c r="F140" s="56">
        <f t="shared" ref="F140:F150" si="13">F139+$G$14</f>
        <v>118372.05045038053</v>
      </c>
    </row>
    <row r="141" spans="1:8" x14ac:dyDescent="0.25">
      <c r="A141" s="3">
        <v>42430</v>
      </c>
      <c r="F141" s="56">
        <f t="shared" si="13"/>
        <v>117286.79688986136</v>
      </c>
    </row>
    <row r="142" spans="1:8" x14ac:dyDescent="0.25">
      <c r="A142" s="3">
        <v>42461</v>
      </c>
      <c r="F142" s="56">
        <f t="shared" si="13"/>
        <v>116201.5433293422</v>
      </c>
    </row>
    <row r="143" spans="1:8" x14ac:dyDescent="0.25">
      <c r="A143" s="3">
        <v>42491</v>
      </c>
      <c r="F143" s="56">
        <f t="shared" si="13"/>
        <v>115116.28976882303</v>
      </c>
    </row>
    <row r="144" spans="1:8" x14ac:dyDescent="0.25">
      <c r="A144" s="3">
        <v>42522</v>
      </c>
      <c r="F144" s="56">
        <f t="shared" si="13"/>
        <v>114031.03620830386</v>
      </c>
    </row>
    <row r="145" spans="1:8" x14ac:dyDescent="0.25">
      <c r="A145" s="3">
        <v>42552</v>
      </c>
      <c r="F145" s="56">
        <f t="shared" si="13"/>
        <v>112945.7826477847</v>
      </c>
    </row>
    <row r="146" spans="1:8" x14ac:dyDescent="0.25">
      <c r="A146" s="3">
        <v>42583</v>
      </c>
      <c r="F146" s="56">
        <f t="shared" si="13"/>
        <v>111860.52908726553</v>
      </c>
    </row>
    <row r="147" spans="1:8" x14ac:dyDescent="0.25">
      <c r="A147" s="3">
        <v>42614</v>
      </c>
      <c r="F147" s="56">
        <f t="shared" si="13"/>
        <v>110775.27552674637</v>
      </c>
    </row>
    <row r="148" spans="1:8" x14ac:dyDescent="0.25">
      <c r="A148" s="3">
        <v>42644</v>
      </c>
      <c r="F148" s="56">
        <f t="shared" si="13"/>
        <v>109690.0219662272</v>
      </c>
    </row>
    <row r="149" spans="1:8" x14ac:dyDescent="0.25">
      <c r="A149" s="3">
        <v>42675</v>
      </c>
      <c r="F149" s="56">
        <f t="shared" si="13"/>
        <v>108604.76840570803</v>
      </c>
    </row>
    <row r="150" spans="1:8" x14ac:dyDescent="0.25">
      <c r="A150" s="3">
        <v>42705</v>
      </c>
      <c r="F150" s="56">
        <f t="shared" si="13"/>
        <v>107519.51484518887</v>
      </c>
      <c r="G150" s="56">
        <f>SUM(F139:F150)</f>
        <v>1361860.9131365314</v>
      </c>
      <c r="H150" s="56">
        <f>F150*12</f>
        <v>1290234.1781422663</v>
      </c>
    </row>
    <row r="151" spans="1:8" x14ac:dyDescent="0.25">
      <c r="A151" s="3">
        <v>42736</v>
      </c>
    </row>
    <row r="152" spans="1:8" x14ac:dyDescent="0.25">
      <c r="A152" s="3">
        <v>42767</v>
      </c>
    </row>
    <row r="153" spans="1:8" x14ac:dyDescent="0.25">
      <c r="A153" s="3">
        <v>42795</v>
      </c>
    </row>
    <row r="154" spans="1:8" x14ac:dyDescent="0.25">
      <c r="A154" s="3">
        <v>42826</v>
      </c>
    </row>
    <row r="155" spans="1:8" x14ac:dyDescent="0.25">
      <c r="A155" s="3">
        <v>42856</v>
      </c>
    </row>
    <row r="156" spans="1:8" x14ac:dyDescent="0.25">
      <c r="A156" s="3">
        <v>42887</v>
      </c>
    </row>
    <row r="157" spans="1:8" x14ac:dyDescent="0.25">
      <c r="A157" s="3">
        <v>42917</v>
      </c>
    </row>
    <row r="158" spans="1:8" x14ac:dyDescent="0.25">
      <c r="A158" s="3">
        <v>42948</v>
      </c>
    </row>
    <row r="159" spans="1:8" x14ac:dyDescent="0.25">
      <c r="A159" s="3">
        <v>42979</v>
      </c>
    </row>
    <row r="160" spans="1:8" x14ac:dyDescent="0.25">
      <c r="A160" s="3">
        <v>43009</v>
      </c>
    </row>
    <row r="161" spans="1:1" x14ac:dyDescent="0.25">
      <c r="A161" s="3">
        <v>43040</v>
      </c>
    </row>
    <row r="162" spans="1:1" x14ac:dyDescent="0.25">
      <c r="A162" s="3">
        <v>43070</v>
      </c>
    </row>
    <row r="163" spans="1:1" x14ac:dyDescent="0.25">
      <c r="A163" s="3">
        <v>43101</v>
      </c>
    </row>
    <row r="164" spans="1:1" x14ac:dyDescent="0.25">
      <c r="A164" s="3">
        <v>43132</v>
      </c>
    </row>
    <row r="165" spans="1:1" x14ac:dyDescent="0.25">
      <c r="A165" s="3">
        <v>43160</v>
      </c>
    </row>
    <row r="166" spans="1:1" x14ac:dyDescent="0.25">
      <c r="A166" s="3">
        <v>43191</v>
      </c>
    </row>
    <row r="167" spans="1:1" x14ac:dyDescent="0.25">
      <c r="A167" s="3">
        <v>43221</v>
      </c>
    </row>
    <row r="168" spans="1:1" x14ac:dyDescent="0.25">
      <c r="A168" s="3">
        <v>43252</v>
      </c>
    </row>
    <row r="169" spans="1:1" x14ac:dyDescent="0.25">
      <c r="A169" s="3">
        <v>43282</v>
      </c>
    </row>
    <row r="170" spans="1:1" x14ac:dyDescent="0.25">
      <c r="A170" s="3">
        <v>43313</v>
      </c>
    </row>
    <row r="171" spans="1:1" x14ac:dyDescent="0.25">
      <c r="A171" s="3">
        <v>43344</v>
      </c>
    </row>
    <row r="172" spans="1:1" x14ac:dyDescent="0.25">
      <c r="A172" s="3">
        <v>43374</v>
      </c>
    </row>
    <row r="173" spans="1:1" x14ac:dyDescent="0.25">
      <c r="A173" s="3">
        <v>43405</v>
      </c>
    </row>
    <row r="174" spans="1:1" x14ac:dyDescent="0.25">
      <c r="A174" s="3">
        <v>43435</v>
      </c>
    </row>
  </sheetData>
  <mergeCells count="1">
    <mergeCell ref="I3:J3"/>
  </mergeCells>
  <phoneticPr fontId="10" type="noConversion"/>
  <pageMargins left="0.1" right="0.11" top="0.31" bottom="1" header="0.5" footer="0.5"/>
  <pageSetup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00"/>
  <sheetViews>
    <sheetView tabSelected="1" topLeftCell="A185" workbookViewId="0">
      <selection activeCell="K82" sqref="K82"/>
    </sheetView>
  </sheetViews>
  <sheetFormatPr defaultColWidth="9.1796875" defaultRowHeight="14.5" x14ac:dyDescent="0.35"/>
  <cols>
    <col min="1" max="1" width="9.1796875" style="58"/>
    <col min="2" max="2" width="12.54296875" style="58" bestFit="1" customWidth="1"/>
    <col min="3" max="3" width="9.1796875" style="58"/>
    <col min="4" max="4" width="10.54296875" style="58" bestFit="1" customWidth="1"/>
    <col min="5" max="5" width="12.7265625" style="58" bestFit="1" customWidth="1"/>
    <col min="6" max="16384" width="9.1796875" style="58"/>
  </cols>
  <sheetData>
    <row r="2" spans="1:5" x14ac:dyDescent="0.35">
      <c r="B2" s="61" t="s">
        <v>94</v>
      </c>
      <c r="C2" s="61" t="s">
        <v>95</v>
      </c>
      <c r="D2" s="60" t="s">
        <v>1</v>
      </c>
      <c r="E2" s="60" t="s">
        <v>96</v>
      </c>
    </row>
    <row r="3" spans="1:5" x14ac:dyDescent="0.35">
      <c r="A3" s="3">
        <v>36708</v>
      </c>
      <c r="B3" s="59">
        <v>1540800</v>
      </c>
      <c r="C3" s="59">
        <v>4348.8</v>
      </c>
      <c r="D3" s="58">
        <v>1.0296000000000001</v>
      </c>
      <c r="E3" s="59">
        <f t="shared" ref="E3:E34" si="0">B3*D3</f>
        <v>1586407.6800000002</v>
      </c>
    </row>
    <row r="4" spans="1:5" x14ac:dyDescent="0.35">
      <c r="A4" s="3">
        <v>36739</v>
      </c>
      <c r="B4" s="59">
        <v>1708800</v>
      </c>
      <c r="C4" s="59">
        <v>4363.2</v>
      </c>
      <c r="D4" s="58">
        <v>1.0296000000000001</v>
      </c>
      <c r="E4" s="59">
        <f t="shared" si="0"/>
        <v>1759380.4800000002</v>
      </c>
    </row>
    <row r="5" spans="1:5" x14ac:dyDescent="0.35">
      <c r="A5" s="3">
        <v>36770</v>
      </c>
      <c r="B5" s="59">
        <v>1464000</v>
      </c>
      <c r="C5" s="59">
        <v>4416</v>
      </c>
      <c r="D5" s="58">
        <v>1.0296000000000001</v>
      </c>
      <c r="E5" s="59">
        <f t="shared" si="0"/>
        <v>1507334.4000000001</v>
      </c>
    </row>
    <row r="6" spans="1:5" x14ac:dyDescent="0.35">
      <c r="A6" s="3">
        <v>36800</v>
      </c>
      <c r="B6" s="59">
        <v>1747200</v>
      </c>
      <c r="C6" s="59">
        <v>4569.6000000000004</v>
      </c>
      <c r="D6" s="58">
        <v>1.0296000000000001</v>
      </c>
      <c r="E6" s="59">
        <f t="shared" si="0"/>
        <v>1798917.1200000001</v>
      </c>
    </row>
    <row r="7" spans="1:5" x14ac:dyDescent="0.35">
      <c r="A7" s="3">
        <v>36831</v>
      </c>
      <c r="B7" s="59">
        <v>1665600</v>
      </c>
      <c r="C7" s="59">
        <v>4684.8</v>
      </c>
      <c r="D7" s="58">
        <v>1.0296000000000001</v>
      </c>
      <c r="E7" s="59">
        <f t="shared" si="0"/>
        <v>1714901.76</v>
      </c>
    </row>
    <row r="8" spans="1:5" x14ac:dyDescent="0.35">
      <c r="A8" s="3">
        <v>36861</v>
      </c>
      <c r="B8" s="59">
        <v>1622400</v>
      </c>
      <c r="C8" s="59">
        <v>4708.8</v>
      </c>
      <c r="D8" s="58">
        <v>1.0296000000000001</v>
      </c>
      <c r="E8" s="59">
        <f t="shared" si="0"/>
        <v>1670423.04</v>
      </c>
    </row>
    <row r="9" spans="1:5" x14ac:dyDescent="0.35">
      <c r="A9" s="3">
        <v>36892</v>
      </c>
      <c r="B9" s="59">
        <v>1598400</v>
      </c>
      <c r="C9" s="59">
        <v>4790.3999999999996</v>
      </c>
      <c r="D9" s="58">
        <v>1.0296000000000001</v>
      </c>
      <c r="E9" s="59">
        <f t="shared" si="0"/>
        <v>1645712.6400000001</v>
      </c>
    </row>
    <row r="10" spans="1:5" x14ac:dyDescent="0.35">
      <c r="A10" s="3">
        <v>36925</v>
      </c>
      <c r="B10" s="59">
        <v>1790400</v>
      </c>
      <c r="C10" s="59">
        <v>4996.8</v>
      </c>
      <c r="D10" s="58">
        <v>1.0296000000000001</v>
      </c>
      <c r="E10" s="59">
        <f t="shared" si="0"/>
        <v>1843395.84</v>
      </c>
    </row>
    <row r="11" spans="1:5" x14ac:dyDescent="0.35">
      <c r="A11" s="3">
        <v>36958</v>
      </c>
      <c r="B11" s="59">
        <v>1204800</v>
      </c>
      <c r="C11" s="59">
        <v>4761.6000000000004</v>
      </c>
      <c r="D11" s="58">
        <v>1.0296000000000001</v>
      </c>
      <c r="E11" s="59">
        <f t="shared" si="0"/>
        <v>1240462.08</v>
      </c>
    </row>
    <row r="12" spans="1:5" x14ac:dyDescent="0.35">
      <c r="A12" s="3">
        <v>36991</v>
      </c>
      <c r="B12" s="59">
        <v>1656000</v>
      </c>
      <c r="C12" s="59">
        <v>4675.2</v>
      </c>
      <c r="D12" s="58">
        <v>1.0296000000000001</v>
      </c>
      <c r="E12" s="59">
        <f t="shared" si="0"/>
        <v>1705017.6</v>
      </c>
    </row>
    <row r="13" spans="1:5" x14ac:dyDescent="0.35">
      <c r="A13" s="3">
        <v>37024</v>
      </c>
      <c r="B13" s="59">
        <v>1704000</v>
      </c>
      <c r="C13" s="59">
        <v>4824</v>
      </c>
      <c r="D13" s="58">
        <v>1.0296000000000001</v>
      </c>
      <c r="E13" s="59">
        <f t="shared" si="0"/>
        <v>1754438.4000000001</v>
      </c>
    </row>
    <row r="14" spans="1:5" x14ac:dyDescent="0.35">
      <c r="A14" s="3">
        <v>37057</v>
      </c>
      <c r="B14" s="59">
        <v>1488000</v>
      </c>
      <c r="C14" s="59">
        <v>4569.6000000000004</v>
      </c>
      <c r="D14" s="58">
        <v>1.0296000000000001</v>
      </c>
      <c r="E14" s="59">
        <f t="shared" si="0"/>
        <v>1532044.8</v>
      </c>
    </row>
    <row r="15" spans="1:5" x14ac:dyDescent="0.35">
      <c r="A15" s="3">
        <v>37090</v>
      </c>
      <c r="B15" s="59">
        <v>1646400</v>
      </c>
      <c r="C15" s="59">
        <v>4761.6000000000004</v>
      </c>
      <c r="D15" s="58">
        <v>1.0296000000000001</v>
      </c>
      <c r="E15" s="59">
        <f t="shared" si="0"/>
        <v>1695133.4400000002</v>
      </c>
    </row>
    <row r="16" spans="1:5" x14ac:dyDescent="0.35">
      <c r="A16" s="3">
        <v>37123</v>
      </c>
      <c r="B16" s="59">
        <v>1420800</v>
      </c>
      <c r="C16" s="59">
        <v>4574.3999999999996</v>
      </c>
      <c r="D16" s="58">
        <v>1.0296000000000001</v>
      </c>
      <c r="E16" s="59">
        <f t="shared" si="0"/>
        <v>1462855.6800000002</v>
      </c>
    </row>
    <row r="17" spans="1:5" x14ac:dyDescent="0.35">
      <c r="A17" s="3">
        <v>37156</v>
      </c>
      <c r="B17" s="59">
        <v>1622400</v>
      </c>
      <c r="C17" s="59">
        <v>4790.3999999999996</v>
      </c>
      <c r="D17" s="58">
        <v>1.0296000000000001</v>
      </c>
      <c r="E17" s="59">
        <f t="shared" si="0"/>
        <v>1670423.04</v>
      </c>
    </row>
    <row r="18" spans="1:5" x14ac:dyDescent="0.35">
      <c r="A18" s="3">
        <v>37189</v>
      </c>
      <c r="B18" s="59">
        <v>1857600</v>
      </c>
      <c r="C18" s="59">
        <v>4963.2</v>
      </c>
      <c r="D18" s="58">
        <v>1.0296000000000001</v>
      </c>
      <c r="E18" s="59">
        <f t="shared" si="0"/>
        <v>1912584.9600000002</v>
      </c>
    </row>
    <row r="19" spans="1:5" x14ac:dyDescent="0.35">
      <c r="A19" s="3">
        <v>37222</v>
      </c>
      <c r="B19" s="59">
        <v>1780800</v>
      </c>
      <c r="C19" s="59">
        <v>5232</v>
      </c>
      <c r="D19" s="58">
        <v>1.0296000000000001</v>
      </c>
      <c r="E19" s="59">
        <f t="shared" si="0"/>
        <v>1833511.6800000002</v>
      </c>
    </row>
    <row r="20" spans="1:5" x14ac:dyDescent="0.35">
      <c r="A20" s="3">
        <v>37255</v>
      </c>
      <c r="B20" s="59">
        <v>1804800</v>
      </c>
      <c r="C20" s="59">
        <v>5145.6000000000004</v>
      </c>
      <c r="D20" s="58">
        <v>1.0296000000000001</v>
      </c>
      <c r="E20" s="59">
        <f t="shared" si="0"/>
        <v>1858222.0800000001</v>
      </c>
    </row>
    <row r="21" spans="1:5" x14ac:dyDescent="0.35">
      <c r="A21" s="13">
        <v>37275</v>
      </c>
      <c r="B21" s="59">
        <v>2116800</v>
      </c>
      <c r="C21" s="59">
        <v>5265.6</v>
      </c>
      <c r="D21" s="58">
        <v>1.0296000000000001</v>
      </c>
      <c r="E21" s="59">
        <f t="shared" si="0"/>
        <v>2179457.2800000003</v>
      </c>
    </row>
    <row r="22" spans="1:5" x14ac:dyDescent="0.35">
      <c r="A22" s="3">
        <v>37308</v>
      </c>
      <c r="B22" s="59">
        <v>2073600</v>
      </c>
      <c r="C22" s="59">
        <v>5308.8</v>
      </c>
      <c r="D22" s="58">
        <v>1.0296000000000001</v>
      </c>
      <c r="E22" s="59">
        <f t="shared" si="0"/>
        <v>2134978.5600000001</v>
      </c>
    </row>
    <row r="23" spans="1:5" x14ac:dyDescent="0.35">
      <c r="A23" s="3">
        <v>37341</v>
      </c>
      <c r="B23" s="59">
        <v>2097600</v>
      </c>
      <c r="C23" s="59">
        <v>5270.4</v>
      </c>
      <c r="D23" s="58">
        <v>1.0296000000000001</v>
      </c>
      <c r="E23" s="59">
        <f t="shared" si="0"/>
        <v>2159688.96</v>
      </c>
    </row>
    <row r="24" spans="1:5" x14ac:dyDescent="0.35">
      <c r="A24" s="3">
        <v>37374</v>
      </c>
      <c r="B24" s="59">
        <v>1982400</v>
      </c>
      <c r="C24" s="59">
        <v>5035.2</v>
      </c>
      <c r="D24" s="58">
        <v>1.0296000000000001</v>
      </c>
      <c r="E24" s="59">
        <f t="shared" si="0"/>
        <v>2041079.04</v>
      </c>
    </row>
    <row r="25" spans="1:5" x14ac:dyDescent="0.35">
      <c r="A25" s="3">
        <v>37407</v>
      </c>
      <c r="B25" s="59">
        <v>1982869.44</v>
      </c>
      <c r="C25" s="59">
        <v>5086.08</v>
      </c>
      <c r="D25" s="58">
        <v>1.0296000000000001</v>
      </c>
      <c r="E25" s="59">
        <f t="shared" si="0"/>
        <v>2041562.375424</v>
      </c>
    </row>
    <row r="26" spans="1:5" x14ac:dyDescent="0.35">
      <c r="A26" s="3">
        <v>37408</v>
      </c>
      <c r="B26" s="59">
        <v>1716506.88</v>
      </c>
      <c r="C26" s="59">
        <v>4948.8</v>
      </c>
      <c r="D26" s="58">
        <v>1.0296000000000001</v>
      </c>
      <c r="E26" s="59">
        <f t="shared" si="0"/>
        <v>1767315.4836480001</v>
      </c>
    </row>
    <row r="27" spans="1:5" x14ac:dyDescent="0.35">
      <c r="A27" s="3">
        <v>37440</v>
      </c>
      <c r="B27" s="59">
        <v>1777462.08</v>
      </c>
      <c r="C27" s="59">
        <v>4866.24</v>
      </c>
      <c r="D27" s="58">
        <v>1.0296000000000001</v>
      </c>
      <c r="E27" s="59">
        <f t="shared" si="0"/>
        <v>1830074.9575680003</v>
      </c>
    </row>
    <row r="28" spans="1:5" x14ac:dyDescent="0.35">
      <c r="A28" s="3">
        <v>37473</v>
      </c>
      <c r="B28" s="59">
        <v>1699471.68</v>
      </c>
      <c r="C28" s="59">
        <v>4895.04</v>
      </c>
      <c r="D28" s="58">
        <v>1.0296000000000001</v>
      </c>
      <c r="E28" s="59">
        <f t="shared" si="0"/>
        <v>1749776.0417280002</v>
      </c>
    </row>
    <row r="29" spans="1:5" x14ac:dyDescent="0.35">
      <c r="A29" s="3">
        <v>37506</v>
      </c>
      <c r="B29" s="59">
        <v>1654761.6</v>
      </c>
      <c r="C29" s="59">
        <v>4866.24</v>
      </c>
      <c r="D29" s="58">
        <v>1.0296000000000001</v>
      </c>
      <c r="E29" s="59">
        <f t="shared" si="0"/>
        <v>1703742.5433600002</v>
      </c>
    </row>
    <row r="30" spans="1:5" x14ac:dyDescent="0.35">
      <c r="A30" s="3">
        <v>37539</v>
      </c>
      <c r="B30" s="59">
        <v>1961242.56</v>
      </c>
      <c r="C30" s="59">
        <v>5201.28</v>
      </c>
      <c r="D30" s="58">
        <v>1.0296000000000001</v>
      </c>
      <c r="E30" s="59">
        <f t="shared" si="0"/>
        <v>2019295.3397760002</v>
      </c>
    </row>
    <row r="31" spans="1:5" x14ac:dyDescent="0.35">
      <c r="A31" s="3">
        <v>37572</v>
      </c>
      <c r="B31" s="59">
        <v>2027372.16</v>
      </c>
      <c r="C31" s="59">
        <v>5240.6400000000003</v>
      </c>
      <c r="D31" s="58">
        <v>1.0296000000000001</v>
      </c>
      <c r="E31" s="59">
        <f t="shared" si="0"/>
        <v>2087382.3759360001</v>
      </c>
    </row>
    <row r="32" spans="1:5" x14ac:dyDescent="0.35">
      <c r="A32" s="29">
        <v>37605</v>
      </c>
      <c r="B32" s="59">
        <v>1936058.88</v>
      </c>
      <c r="C32" s="59">
        <v>5262.72</v>
      </c>
      <c r="D32" s="58">
        <v>1.0296000000000001</v>
      </c>
      <c r="E32" s="59">
        <f t="shared" si="0"/>
        <v>1993366.222848</v>
      </c>
    </row>
    <row r="33" spans="1:5" x14ac:dyDescent="0.35">
      <c r="A33" s="3">
        <v>37622</v>
      </c>
      <c r="B33" s="59">
        <v>2410152.96</v>
      </c>
      <c r="C33" s="59">
        <v>5409.6</v>
      </c>
      <c r="D33" s="58">
        <v>1.0296000000000001</v>
      </c>
      <c r="E33" s="59">
        <f t="shared" si="0"/>
        <v>2481493.4876160002</v>
      </c>
    </row>
    <row r="34" spans="1:5" x14ac:dyDescent="0.35">
      <c r="A34" s="3">
        <v>37653</v>
      </c>
      <c r="B34" s="59">
        <v>2279549.7599999998</v>
      </c>
      <c r="C34" s="59">
        <v>5468.16</v>
      </c>
      <c r="D34" s="58">
        <v>1.0296000000000001</v>
      </c>
      <c r="E34" s="59">
        <f t="shared" si="0"/>
        <v>2347024.4328959999</v>
      </c>
    </row>
    <row r="35" spans="1:5" x14ac:dyDescent="0.35">
      <c r="A35" s="3">
        <v>37681</v>
      </c>
      <c r="B35" s="59">
        <v>2326491.84</v>
      </c>
      <c r="C35" s="59">
        <v>5376</v>
      </c>
      <c r="D35" s="58">
        <v>1.0296000000000001</v>
      </c>
      <c r="E35" s="59">
        <f t="shared" ref="E35:E66" si="1">B35*D35</f>
        <v>2395355.9984639999</v>
      </c>
    </row>
    <row r="36" spans="1:5" x14ac:dyDescent="0.35">
      <c r="A36" s="3">
        <v>37712</v>
      </c>
      <c r="B36" s="59">
        <v>2120279.04</v>
      </c>
      <c r="C36" s="59">
        <v>5239.68</v>
      </c>
      <c r="D36" s="58">
        <v>1.0296000000000001</v>
      </c>
      <c r="E36" s="59">
        <f t="shared" si="1"/>
        <v>2183039.2995840004</v>
      </c>
    </row>
    <row r="37" spans="1:5" x14ac:dyDescent="0.35">
      <c r="A37" s="3">
        <v>37742</v>
      </c>
      <c r="B37" s="59">
        <v>2055252.48</v>
      </c>
      <c r="C37" s="59">
        <v>5030.3999999999996</v>
      </c>
      <c r="D37" s="58">
        <v>1.0296000000000001</v>
      </c>
      <c r="E37" s="59">
        <f t="shared" si="1"/>
        <v>2116087.9534080001</v>
      </c>
    </row>
    <row r="38" spans="1:5" x14ac:dyDescent="0.35">
      <c r="A38" s="3">
        <v>37773</v>
      </c>
      <c r="B38" s="59">
        <v>1970046.72</v>
      </c>
      <c r="C38" s="59">
        <v>4920.96</v>
      </c>
      <c r="D38" s="58">
        <v>1.0296000000000001</v>
      </c>
      <c r="E38" s="59">
        <f t="shared" si="1"/>
        <v>2028360.1029120001</v>
      </c>
    </row>
    <row r="39" spans="1:5" x14ac:dyDescent="0.35">
      <c r="A39" s="3">
        <v>37803</v>
      </c>
      <c r="B39" s="59">
        <v>2019072.96</v>
      </c>
      <c r="C39" s="59">
        <v>4892.16</v>
      </c>
      <c r="D39" s="58">
        <v>1.0296000000000001</v>
      </c>
      <c r="E39" s="59">
        <f t="shared" si="1"/>
        <v>2078837.5196160001</v>
      </c>
    </row>
    <row r="40" spans="1:5" x14ac:dyDescent="0.35">
      <c r="A40" s="3">
        <v>37834</v>
      </c>
      <c r="B40" s="59">
        <v>1893973.44</v>
      </c>
      <c r="C40" s="59">
        <v>4362.24</v>
      </c>
      <c r="D40" s="58">
        <v>1.0296000000000001</v>
      </c>
      <c r="E40" s="59">
        <f t="shared" si="1"/>
        <v>1950035.0538240001</v>
      </c>
    </row>
    <row r="41" spans="1:5" x14ac:dyDescent="0.35">
      <c r="A41" s="3">
        <v>37865</v>
      </c>
      <c r="B41" s="59">
        <v>1900068.48</v>
      </c>
      <c r="C41" s="59">
        <v>4536.96</v>
      </c>
      <c r="D41" s="58">
        <v>1.0296000000000001</v>
      </c>
      <c r="E41" s="59">
        <f t="shared" si="1"/>
        <v>1956310.507008</v>
      </c>
    </row>
    <row r="42" spans="1:5" x14ac:dyDescent="0.35">
      <c r="A42" s="3">
        <v>37895</v>
      </c>
      <c r="B42" s="59">
        <v>2075462.4</v>
      </c>
      <c r="C42" s="59">
        <v>4534.08</v>
      </c>
      <c r="D42" s="58">
        <v>1.0296000000000001</v>
      </c>
      <c r="E42" s="59">
        <f t="shared" si="1"/>
        <v>2136896.0870400001</v>
      </c>
    </row>
    <row r="43" spans="1:5" x14ac:dyDescent="0.35">
      <c r="A43" s="3">
        <v>37926</v>
      </c>
      <c r="B43" s="59">
        <v>2104217.2799999998</v>
      </c>
      <c r="C43" s="59">
        <v>4681.92</v>
      </c>
      <c r="D43" s="58">
        <v>1.0296000000000001</v>
      </c>
      <c r="E43" s="59">
        <f t="shared" si="1"/>
        <v>2166502.111488</v>
      </c>
    </row>
    <row r="44" spans="1:5" x14ac:dyDescent="0.35">
      <c r="A44" s="3">
        <v>37956</v>
      </c>
      <c r="B44" s="59">
        <v>2100888</v>
      </c>
      <c r="C44" s="59">
        <v>4730.88</v>
      </c>
      <c r="D44" s="58">
        <v>1.0296000000000001</v>
      </c>
      <c r="E44" s="59">
        <f t="shared" si="1"/>
        <v>2163074.2848</v>
      </c>
    </row>
    <row r="45" spans="1:5" x14ac:dyDescent="0.35">
      <c r="A45" s="3">
        <v>37987</v>
      </c>
      <c r="B45" s="59">
        <v>2362196.16</v>
      </c>
      <c r="C45" s="59">
        <v>4758.72</v>
      </c>
      <c r="D45" s="58">
        <v>1.0296000000000001</v>
      </c>
      <c r="E45" s="59">
        <f t="shared" si="1"/>
        <v>2432117.1663360004</v>
      </c>
    </row>
    <row r="46" spans="1:5" x14ac:dyDescent="0.35">
      <c r="A46" s="3">
        <v>38018</v>
      </c>
      <c r="B46" s="59">
        <v>2203392.96</v>
      </c>
      <c r="C46" s="59">
        <v>4820.16</v>
      </c>
      <c r="D46" s="58">
        <v>1.0296000000000001</v>
      </c>
      <c r="E46" s="59">
        <f t="shared" si="1"/>
        <v>2268613.3916160003</v>
      </c>
    </row>
    <row r="47" spans="1:5" x14ac:dyDescent="0.35">
      <c r="A47" s="3">
        <v>38047</v>
      </c>
      <c r="B47" s="59">
        <v>2326234.56</v>
      </c>
      <c r="C47" s="59">
        <v>4677.12</v>
      </c>
      <c r="D47" s="58">
        <v>1.0296000000000001</v>
      </c>
      <c r="E47" s="59">
        <f t="shared" si="1"/>
        <v>2395091.1029760004</v>
      </c>
    </row>
    <row r="48" spans="1:5" x14ac:dyDescent="0.35">
      <c r="A48" s="3">
        <v>38078</v>
      </c>
      <c r="B48" s="59">
        <v>2069551.68</v>
      </c>
      <c r="C48" s="59">
        <v>4538.88</v>
      </c>
      <c r="D48" s="58">
        <v>1.0296000000000001</v>
      </c>
      <c r="E48" s="59">
        <f t="shared" si="1"/>
        <v>2130810.4097279999</v>
      </c>
    </row>
    <row r="49" spans="1:5" x14ac:dyDescent="0.35">
      <c r="A49" s="3">
        <v>38108</v>
      </c>
      <c r="B49" s="59">
        <v>1275741.1200000001</v>
      </c>
      <c r="C49" s="59">
        <v>4511.04</v>
      </c>
      <c r="D49" s="58">
        <v>1.0296000000000001</v>
      </c>
      <c r="E49" s="59">
        <f t="shared" si="1"/>
        <v>1313503.0571520003</v>
      </c>
    </row>
    <row r="50" spans="1:5" x14ac:dyDescent="0.35">
      <c r="A50" s="3">
        <v>38139</v>
      </c>
      <c r="B50" s="59">
        <v>2055409.92</v>
      </c>
      <c r="C50" s="59">
        <v>4336.32</v>
      </c>
      <c r="D50" s="58">
        <v>1.0296000000000001</v>
      </c>
      <c r="E50" s="59">
        <f t="shared" si="1"/>
        <v>2116250.053632</v>
      </c>
    </row>
    <row r="51" spans="1:5" x14ac:dyDescent="0.35">
      <c r="A51" s="3">
        <v>38169</v>
      </c>
      <c r="B51" s="59">
        <v>1944165.12</v>
      </c>
      <c r="C51" s="59">
        <v>4438.08</v>
      </c>
      <c r="D51" s="58">
        <v>1.0296000000000001</v>
      </c>
      <c r="E51" s="59">
        <f t="shared" si="1"/>
        <v>2001712.4075520004</v>
      </c>
    </row>
    <row r="52" spans="1:5" x14ac:dyDescent="0.35">
      <c r="A52" s="3">
        <v>38200</v>
      </c>
      <c r="B52" s="59">
        <v>1929043.2</v>
      </c>
      <c r="C52" s="59">
        <v>4176.96</v>
      </c>
      <c r="D52" s="58">
        <v>1.0296000000000001</v>
      </c>
      <c r="E52" s="59">
        <f t="shared" si="1"/>
        <v>1986142.8787200002</v>
      </c>
    </row>
    <row r="53" spans="1:5" x14ac:dyDescent="0.35">
      <c r="A53" s="3">
        <v>38231</v>
      </c>
      <c r="B53" s="59">
        <v>1775732.16</v>
      </c>
      <c r="C53" s="59">
        <v>4266.24</v>
      </c>
      <c r="D53" s="58">
        <v>1.0296000000000001</v>
      </c>
      <c r="E53" s="59">
        <f t="shared" si="1"/>
        <v>1828293.8319360001</v>
      </c>
    </row>
    <row r="54" spans="1:5" x14ac:dyDescent="0.35">
      <c r="A54" s="3">
        <v>38261</v>
      </c>
      <c r="B54" s="59">
        <v>1739097.12</v>
      </c>
      <c r="C54" s="59">
        <v>4363.2</v>
      </c>
      <c r="D54" s="58">
        <v>1.0296000000000001</v>
      </c>
      <c r="E54" s="59">
        <f t="shared" si="1"/>
        <v>1790574.3947520002</v>
      </c>
    </row>
    <row r="55" spans="1:5" x14ac:dyDescent="0.35">
      <c r="A55" s="3">
        <v>38292</v>
      </c>
      <c r="B55" s="59">
        <v>1927202.88</v>
      </c>
      <c r="C55" s="59">
        <v>4446.72</v>
      </c>
      <c r="D55" s="58">
        <v>1.0296000000000001</v>
      </c>
      <c r="E55" s="59">
        <f t="shared" si="1"/>
        <v>1984248.085248</v>
      </c>
    </row>
    <row r="56" spans="1:5" x14ac:dyDescent="0.35">
      <c r="A56" s="3">
        <v>38322</v>
      </c>
      <c r="B56" s="59">
        <v>2053247</v>
      </c>
      <c r="C56" s="59">
        <v>4570.5600000000004</v>
      </c>
      <c r="D56" s="58">
        <v>1.0296000000000001</v>
      </c>
      <c r="E56" s="59">
        <f t="shared" si="1"/>
        <v>2114023.1112000002</v>
      </c>
    </row>
    <row r="57" spans="1:5" x14ac:dyDescent="0.35">
      <c r="A57" s="3">
        <v>38353</v>
      </c>
      <c r="B57" s="59">
        <v>2252067.8399999999</v>
      </c>
      <c r="C57" s="59">
        <v>4606.5600000000004</v>
      </c>
      <c r="D57" s="58">
        <v>1.0296000000000001</v>
      </c>
      <c r="E57" s="59">
        <f t="shared" si="1"/>
        <v>2318729.048064</v>
      </c>
    </row>
    <row r="58" spans="1:5" x14ac:dyDescent="0.35">
      <c r="A58" s="3">
        <v>38384</v>
      </c>
      <c r="B58" s="59">
        <v>2056373.62</v>
      </c>
      <c r="C58" s="59">
        <v>954</v>
      </c>
      <c r="D58" s="58">
        <v>1.0296000000000001</v>
      </c>
      <c r="E58" s="59">
        <f t="shared" si="1"/>
        <v>2117242.2791520003</v>
      </c>
    </row>
    <row r="59" spans="1:5" x14ac:dyDescent="0.35">
      <c r="A59" s="3">
        <v>38412</v>
      </c>
      <c r="B59" s="59">
        <v>2306757.12</v>
      </c>
      <c r="C59" s="59">
        <v>4717.4399999999996</v>
      </c>
      <c r="D59" s="58">
        <v>1.0296000000000001</v>
      </c>
      <c r="E59" s="59">
        <f t="shared" si="1"/>
        <v>2375037.1307520005</v>
      </c>
    </row>
    <row r="60" spans="1:5" x14ac:dyDescent="0.35">
      <c r="A60" s="3">
        <v>38443</v>
      </c>
      <c r="B60" s="59">
        <v>2086685.76</v>
      </c>
      <c r="C60" s="59">
        <v>4384.32</v>
      </c>
      <c r="D60" s="58">
        <v>1.0296000000000001</v>
      </c>
      <c r="E60" s="59">
        <f t="shared" si="1"/>
        <v>2148451.6584960003</v>
      </c>
    </row>
    <row r="61" spans="1:5" x14ac:dyDescent="0.35">
      <c r="A61" s="3">
        <v>38473</v>
      </c>
      <c r="B61" s="59">
        <v>1479953.28</v>
      </c>
      <c r="C61" s="59">
        <v>4163.5200000000004</v>
      </c>
      <c r="D61" s="58">
        <v>1.0296000000000001</v>
      </c>
      <c r="E61" s="59">
        <f t="shared" si="1"/>
        <v>1523759.8970880001</v>
      </c>
    </row>
    <row r="62" spans="1:5" x14ac:dyDescent="0.35">
      <c r="A62" s="3">
        <v>38504</v>
      </c>
      <c r="B62" s="59">
        <v>1660545.6</v>
      </c>
      <c r="C62" s="59">
        <v>4593.6000000000004</v>
      </c>
      <c r="D62" s="58">
        <v>1.0296000000000001</v>
      </c>
      <c r="E62" s="59">
        <f t="shared" si="1"/>
        <v>1709697.7497600003</v>
      </c>
    </row>
    <row r="63" spans="1:5" x14ac:dyDescent="0.35">
      <c r="A63" s="3">
        <v>38534</v>
      </c>
      <c r="B63" s="59">
        <v>1870209.6</v>
      </c>
      <c r="C63" s="59">
        <v>4346.88</v>
      </c>
      <c r="D63" s="58">
        <v>1.0296000000000001</v>
      </c>
      <c r="E63" s="59">
        <f t="shared" si="1"/>
        <v>1925567.8041600003</v>
      </c>
    </row>
    <row r="64" spans="1:5" x14ac:dyDescent="0.35">
      <c r="A64" s="3">
        <v>38565</v>
      </c>
      <c r="B64" s="59">
        <v>1913017.92</v>
      </c>
      <c r="C64" s="59">
        <v>4190.3999999999996</v>
      </c>
      <c r="D64" s="58">
        <v>1.0296000000000001</v>
      </c>
      <c r="E64" s="59">
        <f t="shared" si="1"/>
        <v>1969643.250432</v>
      </c>
    </row>
    <row r="65" spans="1:8" x14ac:dyDescent="0.35">
      <c r="A65" s="3">
        <v>38596</v>
      </c>
      <c r="B65" s="59">
        <v>1878721.92</v>
      </c>
      <c r="C65" s="59">
        <v>4169.28</v>
      </c>
      <c r="D65" s="58">
        <v>1.0296000000000001</v>
      </c>
      <c r="E65" s="59">
        <f t="shared" si="1"/>
        <v>1934332.088832</v>
      </c>
    </row>
    <row r="66" spans="1:8" x14ac:dyDescent="0.35">
      <c r="A66" s="3">
        <v>38626</v>
      </c>
      <c r="B66" s="59">
        <v>2036671.68</v>
      </c>
      <c r="C66" s="59">
        <v>4463.04</v>
      </c>
      <c r="D66" s="58">
        <v>1.0296000000000001</v>
      </c>
      <c r="E66" s="59">
        <f t="shared" si="1"/>
        <v>2096957.161728</v>
      </c>
    </row>
    <row r="67" spans="1:8" x14ac:dyDescent="0.35">
      <c r="A67" s="3">
        <v>38657</v>
      </c>
      <c r="B67" s="59">
        <v>2104027.2000000002</v>
      </c>
      <c r="C67" s="59">
        <v>4592.6400000000003</v>
      </c>
      <c r="D67" s="58">
        <v>1.0296000000000001</v>
      </c>
      <c r="E67" s="59">
        <f t="shared" ref="E67:E98" si="2">B67*D67</f>
        <v>2166306.4051200002</v>
      </c>
    </row>
    <row r="68" spans="1:8" x14ac:dyDescent="0.35">
      <c r="A68" s="3">
        <v>38687</v>
      </c>
      <c r="B68" s="59">
        <v>2109108.48</v>
      </c>
      <c r="C68" s="59">
        <v>4397.76</v>
      </c>
      <c r="D68" s="58">
        <v>1.0296000000000001</v>
      </c>
      <c r="E68" s="59">
        <f t="shared" si="2"/>
        <v>2171538.0910080001</v>
      </c>
    </row>
    <row r="69" spans="1:8" x14ac:dyDescent="0.35">
      <c r="A69" s="3">
        <v>38718</v>
      </c>
      <c r="B69" s="59">
        <v>2182633.92</v>
      </c>
      <c r="C69" s="59">
        <v>4528.32</v>
      </c>
      <c r="D69" s="58">
        <v>1.0296000000000001</v>
      </c>
      <c r="E69" s="59">
        <f t="shared" si="2"/>
        <v>2247239.8840319999</v>
      </c>
    </row>
    <row r="70" spans="1:8" x14ac:dyDescent="0.35">
      <c r="A70" s="3">
        <v>38749</v>
      </c>
      <c r="B70" s="59">
        <v>2101547.52</v>
      </c>
      <c r="C70" s="59">
        <v>4579.2</v>
      </c>
      <c r="D70" s="58">
        <v>1.0296000000000001</v>
      </c>
      <c r="E70" s="59">
        <f t="shared" si="2"/>
        <v>2163753.3265920002</v>
      </c>
    </row>
    <row r="71" spans="1:8" x14ac:dyDescent="0.35">
      <c r="A71" s="3">
        <v>38777</v>
      </c>
      <c r="B71" s="59">
        <v>2309260.7999999998</v>
      </c>
      <c r="C71" s="59">
        <v>4702.08</v>
      </c>
      <c r="D71" s="58">
        <v>1.0296000000000001</v>
      </c>
      <c r="E71" s="59">
        <f t="shared" si="2"/>
        <v>2377614.9196799998</v>
      </c>
    </row>
    <row r="72" spans="1:8" x14ac:dyDescent="0.35">
      <c r="A72" s="3">
        <v>38808</v>
      </c>
      <c r="B72" s="59">
        <v>1997881.92</v>
      </c>
      <c r="C72" s="59">
        <v>4430.3999999999996</v>
      </c>
      <c r="D72" s="58">
        <v>1.0296000000000001</v>
      </c>
      <c r="E72" s="59">
        <f t="shared" si="2"/>
        <v>2057019.224832</v>
      </c>
    </row>
    <row r="73" spans="1:8" x14ac:dyDescent="0.35">
      <c r="A73" s="3">
        <v>38838</v>
      </c>
      <c r="B73" s="59">
        <v>2012486.4</v>
      </c>
      <c r="C73" s="59">
        <v>4272</v>
      </c>
      <c r="D73" s="58">
        <v>1.0442</v>
      </c>
      <c r="E73" s="59">
        <f t="shared" si="2"/>
        <v>2101438.2988800001</v>
      </c>
    </row>
    <row r="74" spans="1:8" x14ac:dyDescent="0.35">
      <c r="A74" s="3">
        <v>38869</v>
      </c>
      <c r="B74" s="59">
        <v>1925956.8</v>
      </c>
      <c r="C74" s="59">
        <v>4322.88</v>
      </c>
      <c r="D74" s="58">
        <v>1.0442</v>
      </c>
      <c r="E74" s="59">
        <f t="shared" si="2"/>
        <v>2011084.0905600002</v>
      </c>
    </row>
    <row r="75" spans="1:8" x14ac:dyDescent="0.35">
      <c r="A75" s="3">
        <v>38899</v>
      </c>
      <c r="B75" s="59">
        <v>1896390.72</v>
      </c>
      <c r="C75" s="59">
        <v>4299.84</v>
      </c>
      <c r="D75" s="58">
        <v>1.0442</v>
      </c>
      <c r="E75" s="59">
        <f t="shared" si="2"/>
        <v>1980211.189824</v>
      </c>
    </row>
    <row r="76" spans="1:8" x14ac:dyDescent="0.35">
      <c r="A76" s="3">
        <v>38930</v>
      </c>
      <c r="B76" s="59">
        <v>1969623.3599999999</v>
      </c>
      <c r="C76" s="59">
        <v>4309.4399999999996</v>
      </c>
      <c r="D76" s="58">
        <v>1.0442</v>
      </c>
      <c r="E76" s="59">
        <f t="shared" si="2"/>
        <v>2056680.712512</v>
      </c>
    </row>
    <row r="77" spans="1:8" x14ac:dyDescent="0.35">
      <c r="A77" s="3">
        <v>38961</v>
      </c>
      <c r="B77" s="59">
        <v>1920563.04</v>
      </c>
      <c r="C77" s="59">
        <v>4566.24</v>
      </c>
      <c r="D77" s="58">
        <v>1.0442</v>
      </c>
      <c r="E77" s="59">
        <f t="shared" si="2"/>
        <v>2005451.926368</v>
      </c>
    </row>
    <row r="78" spans="1:8" x14ac:dyDescent="0.35">
      <c r="A78" s="3">
        <v>38991</v>
      </c>
      <c r="B78" s="59">
        <v>2064912.96</v>
      </c>
      <c r="C78" s="59">
        <v>4515.3599999999997</v>
      </c>
      <c r="D78" s="58">
        <v>1.0442</v>
      </c>
      <c r="E78" s="59">
        <f t="shared" si="2"/>
        <v>2156182.112832</v>
      </c>
    </row>
    <row r="79" spans="1:8" x14ac:dyDescent="0.35">
      <c r="A79" s="3">
        <v>39022</v>
      </c>
      <c r="B79" s="59">
        <v>2118740.16</v>
      </c>
      <c r="C79" s="59">
        <v>4640.16</v>
      </c>
      <c r="D79" s="58">
        <v>1.0442</v>
      </c>
      <c r="E79" s="59">
        <f t="shared" si="2"/>
        <v>2212388.4750720002</v>
      </c>
      <c r="H79" s="59">
        <v>400000</v>
      </c>
    </row>
    <row r="80" spans="1:8" x14ac:dyDescent="0.35">
      <c r="A80" s="3">
        <v>39052</v>
      </c>
      <c r="B80" s="59">
        <v>1497498.72</v>
      </c>
      <c r="C80" s="59">
        <v>4594.08</v>
      </c>
      <c r="D80" s="58">
        <v>1.0442</v>
      </c>
      <c r="E80" s="59">
        <f t="shared" si="2"/>
        <v>1563688.1634239999</v>
      </c>
    </row>
    <row r="81" spans="1:7" x14ac:dyDescent="0.35">
      <c r="A81" s="3">
        <v>39083</v>
      </c>
      <c r="B81" s="59">
        <v>1996722.24</v>
      </c>
      <c r="C81" s="59">
        <v>4728.4799999999996</v>
      </c>
      <c r="D81" s="58">
        <v>1.0442</v>
      </c>
      <c r="E81" s="59">
        <f t="shared" si="2"/>
        <v>2084977.363008</v>
      </c>
      <c r="G81" s="58">
        <f>IF(E81&gt;900000,1,IF(E81&gt;$H$79,0.5,0))</f>
        <v>1</v>
      </c>
    </row>
    <row r="82" spans="1:7" x14ac:dyDescent="0.35">
      <c r="A82" s="3">
        <v>39114</v>
      </c>
      <c r="B82" s="59">
        <v>2140166.4</v>
      </c>
      <c r="C82" s="59">
        <v>4674.24</v>
      </c>
      <c r="D82" s="58">
        <v>1.0442</v>
      </c>
      <c r="E82" s="59">
        <f t="shared" si="2"/>
        <v>2234761.7548799999</v>
      </c>
      <c r="G82" s="58">
        <f t="shared" ref="G82:G145" si="3">IF(E82&gt;900000,1,IF(E82&gt;$H$79,0.5,0))</f>
        <v>1</v>
      </c>
    </row>
    <row r="83" spans="1:7" x14ac:dyDescent="0.35">
      <c r="A83" s="3">
        <v>39142</v>
      </c>
      <c r="B83" s="59">
        <v>2326283.04</v>
      </c>
      <c r="C83" s="59">
        <v>4750.5600000000004</v>
      </c>
      <c r="D83" s="58">
        <v>1.0442</v>
      </c>
      <c r="E83" s="59">
        <f t="shared" si="2"/>
        <v>2429104.750368</v>
      </c>
      <c r="G83" s="58">
        <f t="shared" si="3"/>
        <v>1</v>
      </c>
    </row>
    <row r="84" spans="1:7" x14ac:dyDescent="0.35">
      <c r="A84" s="3">
        <v>39173</v>
      </c>
      <c r="B84" s="59">
        <v>2043363.84</v>
      </c>
      <c r="C84" s="59">
        <v>4550.88</v>
      </c>
      <c r="D84" s="58">
        <v>1.0442</v>
      </c>
      <c r="E84" s="59">
        <f t="shared" si="2"/>
        <v>2133680.5217280001</v>
      </c>
      <c r="G84" s="58">
        <f t="shared" si="3"/>
        <v>1</v>
      </c>
    </row>
    <row r="85" spans="1:7" x14ac:dyDescent="0.35">
      <c r="A85" s="3">
        <v>39203</v>
      </c>
      <c r="B85" s="59">
        <v>1668486.24</v>
      </c>
      <c r="C85" s="59">
        <v>4467.84</v>
      </c>
      <c r="D85" s="58">
        <v>1.0442</v>
      </c>
      <c r="E85" s="59">
        <f t="shared" si="2"/>
        <v>1742233.3318080001</v>
      </c>
      <c r="G85" s="58">
        <f t="shared" si="3"/>
        <v>1</v>
      </c>
    </row>
    <row r="86" spans="1:7" x14ac:dyDescent="0.35">
      <c r="A86" s="3">
        <v>39234</v>
      </c>
      <c r="B86" s="59">
        <v>1560876.96</v>
      </c>
      <c r="C86" s="59">
        <v>4310.3999999999996</v>
      </c>
      <c r="D86" s="58">
        <v>1.0442</v>
      </c>
      <c r="E86" s="59">
        <f t="shared" si="2"/>
        <v>1629867.7216320001</v>
      </c>
      <c r="G86" s="58">
        <f t="shared" si="3"/>
        <v>1</v>
      </c>
    </row>
    <row r="87" spans="1:7" x14ac:dyDescent="0.35">
      <c r="A87" s="3">
        <v>39264</v>
      </c>
      <c r="B87" s="59">
        <v>1540444.8</v>
      </c>
      <c r="C87" s="59">
        <v>4491.84</v>
      </c>
      <c r="D87" s="58">
        <v>1.0442</v>
      </c>
      <c r="E87" s="59">
        <f t="shared" si="2"/>
        <v>1608532.46016</v>
      </c>
      <c r="G87" s="58">
        <f t="shared" si="3"/>
        <v>1</v>
      </c>
    </row>
    <row r="88" spans="1:7" x14ac:dyDescent="0.35">
      <c r="A88" s="3">
        <v>39295</v>
      </c>
      <c r="B88" s="59">
        <v>1621716.48</v>
      </c>
      <c r="C88" s="59">
        <v>4376.16</v>
      </c>
      <c r="D88" s="58">
        <v>1.0442</v>
      </c>
      <c r="E88" s="59">
        <f t="shared" si="2"/>
        <v>1693396.3484159999</v>
      </c>
      <c r="G88" s="58">
        <f t="shared" si="3"/>
        <v>1</v>
      </c>
    </row>
    <row r="89" spans="1:7" x14ac:dyDescent="0.35">
      <c r="A89" s="3">
        <v>39326</v>
      </c>
      <c r="B89" s="59">
        <v>1530280.8</v>
      </c>
      <c r="C89" s="59">
        <v>4567.2</v>
      </c>
      <c r="D89" s="58">
        <v>1.0442</v>
      </c>
      <c r="E89" s="59">
        <f t="shared" si="2"/>
        <v>1597919.2113600001</v>
      </c>
      <c r="G89" s="58">
        <f t="shared" si="3"/>
        <v>1</v>
      </c>
    </row>
    <row r="90" spans="1:7" x14ac:dyDescent="0.35">
      <c r="A90" s="3">
        <v>39356</v>
      </c>
      <c r="B90" s="59">
        <v>1709366.88</v>
      </c>
      <c r="C90" s="59">
        <v>4578.72</v>
      </c>
      <c r="D90" s="58">
        <v>1.0442</v>
      </c>
      <c r="E90" s="59">
        <f t="shared" si="2"/>
        <v>1784920.896096</v>
      </c>
      <c r="G90" s="58">
        <f t="shared" si="3"/>
        <v>1</v>
      </c>
    </row>
    <row r="91" spans="1:7" x14ac:dyDescent="0.35">
      <c r="A91" s="3">
        <v>39387</v>
      </c>
      <c r="B91" s="59">
        <v>1088732.1599999999</v>
      </c>
      <c r="C91" s="59">
        <v>4670.3999999999996</v>
      </c>
      <c r="D91" s="58">
        <v>1.0442</v>
      </c>
      <c r="E91" s="59">
        <f t="shared" si="2"/>
        <v>1136854.1214719999</v>
      </c>
      <c r="G91" s="58">
        <f t="shared" si="3"/>
        <v>1</v>
      </c>
    </row>
    <row r="92" spans="1:7" x14ac:dyDescent="0.35">
      <c r="A92" s="3">
        <v>39417</v>
      </c>
      <c r="B92" s="59">
        <v>250009.92</v>
      </c>
      <c r="C92" s="59">
        <v>625.44000000000005</v>
      </c>
      <c r="D92" s="58">
        <v>1.0442</v>
      </c>
      <c r="E92" s="59">
        <f t="shared" si="2"/>
        <v>261060.35846400002</v>
      </c>
      <c r="G92" s="58">
        <f t="shared" si="3"/>
        <v>0</v>
      </c>
    </row>
    <row r="93" spans="1:7" x14ac:dyDescent="0.35">
      <c r="A93" s="3">
        <v>39448</v>
      </c>
      <c r="B93" s="59">
        <v>262951.67999999999</v>
      </c>
      <c r="C93" s="59">
        <v>536.16</v>
      </c>
      <c r="D93" s="58">
        <v>1.0442</v>
      </c>
      <c r="E93" s="59">
        <f t="shared" si="2"/>
        <v>274574.144256</v>
      </c>
      <c r="G93" s="58">
        <f t="shared" si="3"/>
        <v>0</v>
      </c>
    </row>
    <row r="94" spans="1:7" x14ac:dyDescent="0.35">
      <c r="A94" s="3">
        <v>39479</v>
      </c>
      <c r="B94" s="59">
        <v>237515.51999999999</v>
      </c>
      <c r="C94" s="59">
        <v>579.36</v>
      </c>
      <c r="D94" s="58">
        <v>1.0442</v>
      </c>
      <c r="E94" s="59">
        <f t="shared" si="2"/>
        <v>248013.705984</v>
      </c>
      <c r="G94" s="58">
        <f t="shared" si="3"/>
        <v>0</v>
      </c>
    </row>
    <row r="95" spans="1:7" x14ac:dyDescent="0.35">
      <c r="A95" s="3">
        <v>39508</v>
      </c>
      <c r="B95" s="59">
        <v>223806.24</v>
      </c>
      <c r="C95" s="59">
        <v>460.32</v>
      </c>
      <c r="D95" s="58">
        <v>1.0442</v>
      </c>
      <c r="E95" s="59">
        <f t="shared" si="2"/>
        <v>233698.47580799999</v>
      </c>
      <c r="G95" s="58">
        <f t="shared" si="3"/>
        <v>0</v>
      </c>
    </row>
    <row r="96" spans="1:7" x14ac:dyDescent="0.35">
      <c r="A96" s="3">
        <v>39539</v>
      </c>
      <c r="B96" s="59">
        <v>175808.64000000001</v>
      </c>
      <c r="C96" s="59">
        <v>391.2</v>
      </c>
      <c r="D96" s="58">
        <v>1.0442</v>
      </c>
      <c r="E96" s="59">
        <f t="shared" si="2"/>
        <v>183579.381888</v>
      </c>
      <c r="G96" s="58">
        <f t="shared" si="3"/>
        <v>0</v>
      </c>
    </row>
    <row r="97" spans="1:7" x14ac:dyDescent="0.35">
      <c r="A97" s="3">
        <v>39569</v>
      </c>
      <c r="B97" s="59">
        <v>155142.24</v>
      </c>
      <c r="C97" s="59">
        <v>310.56</v>
      </c>
      <c r="D97" s="58">
        <v>1.0442</v>
      </c>
      <c r="E97" s="59">
        <f t="shared" si="2"/>
        <v>161999.527008</v>
      </c>
      <c r="G97" s="58">
        <f t="shared" si="3"/>
        <v>0</v>
      </c>
    </row>
    <row r="98" spans="1:7" x14ac:dyDescent="0.35">
      <c r="A98" s="3">
        <v>39600</v>
      </c>
      <c r="B98" s="59">
        <v>987459.84</v>
      </c>
      <c r="C98" s="59">
        <v>4074.24</v>
      </c>
      <c r="D98" s="58">
        <v>1.0442</v>
      </c>
      <c r="E98" s="59">
        <f t="shared" si="2"/>
        <v>1031105.564928</v>
      </c>
      <c r="G98" s="58">
        <f t="shared" si="3"/>
        <v>1</v>
      </c>
    </row>
    <row r="99" spans="1:7" x14ac:dyDescent="0.35">
      <c r="A99" s="3">
        <v>39630</v>
      </c>
      <c r="B99" s="59">
        <v>1512148.8</v>
      </c>
      <c r="C99" s="59">
        <v>4248.4799999999996</v>
      </c>
      <c r="D99" s="58">
        <v>1.0535000000000001</v>
      </c>
      <c r="E99" s="59">
        <f t="shared" ref="E99:E130" si="4">B99*D99</f>
        <v>1593048.7608000003</v>
      </c>
      <c r="G99" s="58">
        <f t="shared" si="3"/>
        <v>1</v>
      </c>
    </row>
    <row r="100" spans="1:7" x14ac:dyDescent="0.35">
      <c r="A100" s="3">
        <v>39661</v>
      </c>
      <c r="B100" s="59">
        <v>1249092.96</v>
      </c>
      <c r="C100" s="59">
        <v>3898.08</v>
      </c>
      <c r="D100" s="58">
        <v>1.0535000000000001</v>
      </c>
      <c r="E100" s="59">
        <f t="shared" si="4"/>
        <v>1315919.4333600001</v>
      </c>
      <c r="G100" s="58">
        <f t="shared" si="3"/>
        <v>1</v>
      </c>
    </row>
    <row r="101" spans="1:7" x14ac:dyDescent="0.35">
      <c r="A101" s="3">
        <v>39692</v>
      </c>
      <c r="B101" s="59">
        <v>856244.16</v>
      </c>
      <c r="C101" s="59">
        <v>4071.36</v>
      </c>
      <c r="D101" s="58">
        <v>1.0535000000000001</v>
      </c>
      <c r="E101" s="59">
        <f t="shared" si="4"/>
        <v>902053.22256000014</v>
      </c>
      <c r="G101" s="58">
        <f t="shared" si="3"/>
        <v>1</v>
      </c>
    </row>
    <row r="102" spans="1:7" x14ac:dyDescent="0.35">
      <c r="A102" s="3">
        <v>39722</v>
      </c>
      <c r="B102" s="59">
        <v>163644.48000000001</v>
      </c>
      <c r="C102" s="59">
        <v>810.72</v>
      </c>
      <c r="D102" s="58">
        <v>1.0535000000000001</v>
      </c>
      <c r="E102" s="59">
        <f t="shared" si="4"/>
        <v>172399.45968000003</v>
      </c>
      <c r="G102" s="58">
        <f t="shared" si="3"/>
        <v>0</v>
      </c>
    </row>
    <row r="103" spans="1:7" x14ac:dyDescent="0.35">
      <c r="A103" s="3">
        <v>39753</v>
      </c>
      <c r="B103" s="59">
        <v>167096.64000000001</v>
      </c>
      <c r="C103" s="59">
        <v>366.24</v>
      </c>
      <c r="D103" s="58">
        <v>1.0535000000000001</v>
      </c>
      <c r="E103" s="59">
        <f t="shared" si="4"/>
        <v>176036.31024000002</v>
      </c>
      <c r="G103" s="58">
        <f t="shared" si="3"/>
        <v>0</v>
      </c>
    </row>
    <row r="104" spans="1:7" x14ac:dyDescent="0.35">
      <c r="A104" s="3">
        <v>39783</v>
      </c>
      <c r="B104" s="59">
        <v>168100.32</v>
      </c>
      <c r="C104" s="59">
        <v>447.36</v>
      </c>
      <c r="D104" s="58">
        <v>1.0535000000000001</v>
      </c>
      <c r="E104" s="59">
        <f t="shared" si="4"/>
        <v>177093.68712000002</v>
      </c>
      <c r="G104" s="58">
        <f t="shared" si="3"/>
        <v>0</v>
      </c>
    </row>
    <row r="105" spans="1:7" x14ac:dyDescent="0.35">
      <c r="A105" s="3">
        <v>39814</v>
      </c>
      <c r="B105" s="59">
        <v>159480.48000000001</v>
      </c>
      <c r="C105" s="59">
        <v>405.12</v>
      </c>
      <c r="D105" s="58">
        <v>1.0535000000000001</v>
      </c>
      <c r="E105" s="59">
        <f t="shared" si="4"/>
        <v>168012.68568000002</v>
      </c>
      <c r="G105" s="58">
        <f t="shared" si="3"/>
        <v>0</v>
      </c>
    </row>
    <row r="106" spans="1:7" x14ac:dyDescent="0.35">
      <c r="A106" s="3">
        <v>39845</v>
      </c>
      <c r="B106" s="59">
        <v>129410.4</v>
      </c>
      <c r="C106" s="59">
        <v>301.44</v>
      </c>
      <c r="D106" s="58">
        <v>1.0535000000000001</v>
      </c>
      <c r="E106" s="59">
        <f t="shared" si="4"/>
        <v>136333.85640000002</v>
      </c>
      <c r="G106" s="58">
        <f t="shared" si="3"/>
        <v>0</v>
      </c>
    </row>
    <row r="107" spans="1:7" x14ac:dyDescent="0.35">
      <c r="A107" s="3">
        <v>39873</v>
      </c>
      <c r="B107" s="59">
        <v>134767.20000000001</v>
      </c>
      <c r="C107" s="59">
        <v>441.12</v>
      </c>
      <c r="D107" s="58">
        <v>1.0535000000000001</v>
      </c>
      <c r="E107" s="59">
        <f t="shared" si="4"/>
        <v>141977.24520000003</v>
      </c>
      <c r="G107" s="58">
        <f t="shared" si="3"/>
        <v>0</v>
      </c>
    </row>
    <row r="108" spans="1:7" x14ac:dyDescent="0.35">
      <c r="A108" s="3">
        <v>39904</v>
      </c>
      <c r="B108" s="59">
        <v>93006.24</v>
      </c>
      <c r="C108" s="59">
        <v>371.04</v>
      </c>
      <c r="D108" s="58">
        <v>1.0535000000000001</v>
      </c>
      <c r="E108" s="59">
        <f t="shared" si="4"/>
        <v>97982.073840000012</v>
      </c>
      <c r="G108" s="58">
        <f t="shared" si="3"/>
        <v>0</v>
      </c>
    </row>
    <row r="109" spans="1:7" x14ac:dyDescent="0.35">
      <c r="A109" s="3">
        <v>39934</v>
      </c>
      <c r="B109" s="59">
        <v>78942.240000000005</v>
      </c>
      <c r="C109" s="59">
        <v>371.04</v>
      </c>
      <c r="D109" s="58">
        <v>1.0535000000000001</v>
      </c>
      <c r="E109" s="59">
        <f t="shared" si="4"/>
        <v>83165.649840000013</v>
      </c>
      <c r="G109" s="58">
        <f t="shared" si="3"/>
        <v>0</v>
      </c>
    </row>
    <row r="110" spans="1:7" x14ac:dyDescent="0.35">
      <c r="A110" s="3">
        <v>39965</v>
      </c>
      <c r="B110" s="59">
        <v>58444.800000000003</v>
      </c>
      <c r="C110" s="59">
        <v>201.6</v>
      </c>
      <c r="D110" s="58">
        <v>1.0535000000000001</v>
      </c>
      <c r="E110" s="59">
        <f t="shared" si="4"/>
        <v>61571.596800000007</v>
      </c>
      <c r="G110" s="58">
        <f t="shared" si="3"/>
        <v>0</v>
      </c>
    </row>
    <row r="111" spans="1:7" x14ac:dyDescent="0.35">
      <c r="A111" s="3">
        <v>39995</v>
      </c>
      <c r="B111" s="59">
        <v>54030.720000000001</v>
      </c>
      <c r="C111" s="59">
        <v>200.16</v>
      </c>
      <c r="D111" s="58">
        <v>1.0535000000000001</v>
      </c>
      <c r="E111" s="59">
        <f t="shared" si="4"/>
        <v>56921.363520000006</v>
      </c>
      <c r="G111" s="58">
        <f t="shared" si="3"/>
        <v>0</v>
      </c>
    </row>
    <row r="112" spans="1:7" x14ac:dyDescent="0.35">
      <c r="A112" s="3">
        <v>40026</v>
      </c>
      <c r="B112" s="59">
        <v>52475.519999999997</v>
      </c>
      <c r="C112" s="59">
        <v>230.88</v>
      </c>
      <c r="D112" s="58">
        <v>1.0535000000000001</v>
      </c>
      <c r="E112" s="59">
        <f t="shared" si="4"/>
        <v>55282.960320000006</v>
      </c>
      <c r="G112" s="58">
        <f t="shared" si="3"/>
        <v>0</v>
      </c>
    </row>
    <row r="113" spans="1:7" x14ac:dyDescent="0.35">
      <c r="A113" s="3">
        <v>40057</v>
      </c>
      <c r="B113" s="59">
        <v>51008.639999999999</v>
      </c>
      <c r="C113" s="59">
        <v>296.64</v>
      </c>
      <c r="D113" s="58">
        <v>1.0535000000000001</v>
      </c>
      <c r="E113" s="59">
        <f t="shared" si="4"/>
        <v>53737.602240000007</v>
      </c>
      <c r="G113" s="58">
        <f t="shared" si="3"/>
        <v>0</v>
      </c>
    </row>
    <row r="114" spans="1:7" x14ac:dyDescent="0.35">
      <c r="A114" s="3">
        <v>40087</v>
      </c>
      <c r="B114" s="59">
        <v>70592.639999999999</v>
      </c>
      <c r="C114" s="59">
        <v>296.64</v>
      </c>
      <c r="D114" s="58">
        <v>1.0535000000000001</v>
      </c>
      <c r="E114" s="59">
        <f t="shared" si="4"/>
        <v>74369.346240000013</v>
      </c>
      <c r="G114" s="58">
        <f t="shared" si="3"/>
        <v>0</v>
      </c>
    </row>
    <row r="115" spans="1:7" x14ac:dyDescent="0.35">
      <c r="A115" s="3">
        <v>40118</v>
      </c>
      <c r="B115" s="59">
        <v>73145.759999999995</v>
      </c>
      <c r="C115" s="59">
        <v>220.32</v>
      </c>
      <c r="D115" s="58">
        <v>1.0535000000000001</v>
      </c>
      <c r="E115" s="59">
        <f t="shared" si="4"/>
        <v>77059.05816</v>
      </c>
      <c r="G115" s="58">
        <f t="shared" si="3"/>
        <v>0</v>
      </c>
    </row>
    <row r="116" spans="1:7" x14ac:dyDescent="0.35">
      <c r="A116" s="3">
        <v>40148</v>
      </c>
      <c r="B116" s="59">
        <v>120002.4</v>
      </c>
      <c r="C116" s="59">
        <v>351.84</v>
      </c>
      <c r="D116" s="58">
        <v>1.0535000000000001</v>
      </c>
      <c r="E116" s="59">
        <f t="shared" si="4"/>
        <v>126422.52840000001</v>
      </c>
      <c r="G116" s="58">
        <f t="shared" si="3"/>
        <v>0</v>
      </c>
    </row>
    <row r="117" spans="1:7" x14ac:dyDescent="0.35">
      <c r="A117" s="3">
        <v>40179</v>
      </c>
      <c r="B117" s="59">
        <v>122395.68</v>
      </c>
      <c r="C117" s="59">
        <v>419.04</v>
      </c>
      <c r="D117" s="58">
        <v>1.0535000000000001</v>
      </c>
      <c r="E117" s="59">
        <f t="shared" si="4"/>
        <v>128943.84888000001</v>
      </c>
      <c r="G117" s="58">
        <f t="shared" si="3"/>
        <v>0</v>
      </c>
    </row>
    <row r="118" spans="1:7" x14ac:dyDescent="0.35">
      <c r="A118" s="3">
        <v>40210</v>
      </c>
      <c r="B118" s="59">
        <v>106926.24</v>
      </c>
      <c r="C118" s="59">
        <v>259.2</v>
      </c>
      <c r="D118" s="58">
        <v>1.0535000000000001</v>
      </c>
      <c r="E118" s="59">
        <f t="shared" si="4"/>
        <v>112646.79384000001</v>
      </c>
      <c r="G118" s="58">
        <f t="shared" si="3"/>
        <v>0</v>
      </c>
    </row>
    <row r="119" spans="1:7" x14ac:dyDescent="0.35">
      <c r="A119" s="3">
        <v>40238</v>
      </c>
      <c r="B119" s="59">
        <v>91575.360000000001</v>
      </c>
      <c r="C119" s="59">
        <v>377.76</v>
      </c>
      <c r="D119" s="58">
        <v>1.0535000000000001</v>
      </c>
      <c r="E119" s="59">
        <f t="shared" si="4"/>
        <v>96474.641760000013</v>
      </c>
      <c r="G119" s="58">
        <f t="shared" si="3"/>
        <v>0</v>
      </c>
    </row>
    <row r="120" spans="1:7" x14ac:dyDescent="0.35">
      <c r="A120" s="3">
        <v>40269</v>
      </c>
      <c r="B120" s="59">
        <v>65905.919999999998</v>
      </c>
      <c r="C120" s="59">
        <v>325.92</v>
      </c>
      <c r="D120" s="58">
        <v>1.0535000000000001</v>
      </c>
      <c r="E120" s="59">
        <f t="shared" si="4"/>
        <v>69431.88672000001</v>
      </c>
      <c r="G120" s="58">
        <f t="shared" si="3"/>
        <v>0</v>
      </c>
    </row>
    <row r="121" spans="1:7" x14ac:dyDescent="0.35">
      <c r="A121" s="3">
        <v>40299</v>
      </c>
      <c r="B121" s="59">
        <v>91744.320000000007</v>
      </c>
      <c r="C121" s="59">
        <v>561.6</v>
      </c>
      <c r="D121" s="58">
        <v>1.0535000000000001</v>
      </c>
      <c r="E121" s="59">
        <f t="shared" si="4"/>
        <v>96652.641120000015</v>
      </c>
      <c r="G121" s="58">
        <f t="shared" si="3"/>
        <v>0</v>
      </c>
    </row>
    <row r="122" spans="1:7" x14ac:dyDescent="0.35">
      <c r="A122" s="3">
        <v>40330</v>
      </c>
      <c r="B122" s="59">
        <v>493065.12</v>
      </c>
      <c r="C122" s="59">
        <v>2651.04</v>
      </c>
      <c r="D122" s="58">
        <v>1.0535000000000001</v>
      </c>
      <c r="E122" s="59">
        <f t="shared" si="4"/>
        <v>519444.10392000002</v>
      </c>
      <c r="G122" s="58">
        <f t="shared" si="3"/>
        <v>0.5</v>
      </c>
    </row>
    <row r="123" spans="1:7" x14ac:dyDescent="0.35">
      <c r="A123" s="3">
        <v>40360</v>
      </c>
      <c r="B123" s="59">
        <v>568152.96</v>
      </c>
      <c r="C123" s="59">
        <v>2967.36</v>
      </c>
      <c r="D123" s="58">
        <v>1.0535000000000001</v>
      </c>
      <c r="E123" s="59">
        <f t="shared" si="4"/>
        <v>598549.14335999999</v>
      </c>
      <c r="G123" s="58">
        <f t="shared" si="3"/>
        <v>0.5</v>
      </c>
    </row>
    <row r="124" spans="1:7" x14ac:dyDescent="0.35">
      <c r="A124" s="3">
        <v>40391</v>
      </c>
      <c r="B124" s="59">
        <v>525719.04000000004</v>
      </c>
      <c r="C124" s="59">
        <v>2918.4</v>
      </c>
      <c r="D124" s="58">
        <v>1.0535000000000001</v>
      </c>
      <c r="E124" s="59">
        <f t="shared" si="4"/>
        <v>553845.00864000013</v>
      </c>
      <c r="G124" s="58">
        <f t="shared" si="3"/>
        <v>0.5</v>
      </c>
    </row>
    <row r="125" spans="1:7" x14ac:dyDescent="0.35">
      <c r="A125" s="3">
        <v>40422</v>
      </c>
      <c r="B125" s="59">
        <v>81726.240000000005</v>
      </c>
      <c r="C125" s="59">
        <v>928.8</v>
      </c>
      <c r="D125" s="58">
        <v>1.0535000000000001</v>
      </c>
      <c r="E125" s="59">
        <f t="shared" si="4"/>
        <v>86098.593840000016</v>
      </c>
      <c r="G125" s="58">
        <f t="shared" si="3"/>
        <v>0</v>
      </c>
    </row>
    <row r="126" spans="1:7" x14ac:dyDescent="0.35">
      <c r="A126" s="3">
        <v>40452</v>
      </c>
      <c r="B126" s="59">
        <v>60980.160000000003</v>
      </c>
      <c r="C126" s="59">
        <v>332.16</v>
      </c>
      <c r="D126" s="58">
        <v>1.0535000000000001</v>
      </c>
      <c r="E126" s="59">
        <f t="shared" si="4"/>
        <v>64242.598560000013</v>
      </c>
      <c r="G126" s="58">
        <f t="shared" si="3"/>
        <v>0</v>
      </c>
    </row>
    <row r="127" spans="1:7" x14ac:dyDescent="0.35">
      <c r="A127" s="3">
        <v>40483</v>
      </c>
      <c r="B127" s="59">
        <v>53148</v>
      </c>
      <c r="C127" s="59">
        <v>190.56</v>
      </c>
      <c r="D127" s="58">
        <v>1.0535000000000001</v>
      </c>
      <c r="E127" s="59">
        <f t="shared" si="4"/>
        <v>55991.418000000005</v>
      </c>
      <c r="G127" s="58">
        <f t="shared" si="3"/>
        <v>0</v>
      </c>
    </row>
    <row r="128" spans="1:7" x14ac:dyDescent="0.35">
      <c r="A128" s="3">
        <v>40513</v>
      </c>
      <c r="B128" s="59">
        <v>47034.720000000001</v>
      </c>
      <c r="C128" s="59">
        <v>197.28</v>
      </c>
      <c r="D128" s="58">
        <v>1.0535000000000001</v>
      </c>
      <c r="E128" s="59">
        <f t="shared" si="4"/>
        <v>49551.077520000006</v>
      </c>
      <c r="G128" s="58">
        <f t="shared" si="3"/>
        <v>0</v>
      </c>
    </row>
    <row r="129" spans="1:7" x14ac:dyDescent="0.35">
      <c r="A129" s="3">
        <v>40544</v>
      </c>
      <c r="B129" s="59">
        <v>50028</v>
      </c>
      <c r="C129" s="59">
        <v>200.16</v>
      </c>
      <c r="D129" s="58">
        <v>1.0535000000000001</v>
      </c>
      <c r="E129" s="59">
        <f t="shared" si="4"/>
        <v>52704.498000000007</v>
      </c>
      <c r="G129" s="58">
        <f t="shared" si="3"/>
        <v>0</v>
      </c>
    </row>
    <row r="130" spans="1:7" x14ac:dyDescent="0.35">
      <c r="A130" s="3">
        <v>40575</v>
      </c>
      <c r="B130" s="59">
        <v>43677.120000000003</v>
      </c>
      <c r="C130" s="59">
        <v>198.72</v>
      </c>
      <c r="D130" s="58">
        <v>1.0535000000000001</v>
      </c>
      <c r="E130" s="59">
        <f t="shared" si="4"/>
        <v>46013.845920000007</v>
      </c>
      <c r="G130" s="58">
        <f t="shared" si="3"/>
        <v>0</v>
      </c>
    </row>
    <row r="131" spans="1:7" x14ac:dyDescent="0.35">
      <c r="A131" s="3">
        <v>40603</v>
      </c>
      <c r="B131" s="59">
        <v>42233.279999999999</v>
      </c>
      <c r="C131" s="59">
        <v>199.2</v>
      </c>
      <c r="D131" s="58">
        <v>1.0535000000000001</v>
      </c>
      <c r="E131" s="59">
        <f t="shared" ref="E131:E140" si="5">B131*D131</f>
        <v>44492.760480000004</v>
      </c>
      <c r="G131" s="58">
        <f t="shared" si="3"/>
        <v>0</v>
      </c>
    </row>
    <row r="132" spans="1:7" x14ac:dyDescent="0.35">
      <c r="A132" s="3">
        <v>40634</v>
      </c>
      <c r="B132" s="59">
        <v>29914.560000000001</v>
      </c>
      <c r="C132" s="59">
        <v>193.92</v>
      </c>
      <c r="D132" s="58">
        <v>1.0535000000000001</v>
      </c>
      <c r="E132" s="59">
        <f t="shared" si="5"/>
        <v>31514.988960000006</v>
      </c>
      <c r="G132" s="58">
        <f t="shared" si="3"/>
        <v>0</v>
      </c>
    </row>
    <row r="133" spans="1:7" x14ac:dyDescent="0.35">
      <c r="A133" s="3">
        <v>40664</v>
      </c>
      <c r="B133" s="59">
        <v>22835.52</v>
      </c>
      <c r="C133" s="59">
        <v>216</v>
      </c>
      <c r="D133" s="58">
        <v>1.0535000000000001</v>
      </c>
      <c r="E133" s="59">
        <f t="shared" si="5"/>
        <v>24057.220320000004</v>
      </c>
      <c r="G133" s="58">
        <f t="shared" si="3"/>
        <v>0</v>
      </c>
    </row>
    <row r="134" spans="1:7" x14ac:dyDescent="0.35">
      <c r="A134" s="3">
        <v>40695</v>
      </c>
      <c r="B134" s="59">
        <v>21146.880000000001</v>
      </c>
      <c r="C134" s="59">
        <v>184.8</v>
      </c>
      <c r="D134" s="58">
        <v>1.0535000000000001</v>
      </c>
      <c r="E134" s="59">
        <f t="shared" si="5"/>
        <v>22278.238080000003</v>
      </c>
      <c r="G134" s="58">
        <f t="shared" si="3"/>
        <v>0</v>
      </c>
    </row>
    <row r="135" spans="1:7" x14ac:dyDescent="0.35">
      <c r="A135" s="3">
        <v>40725</v>
      </c>
      <c r="B135" s="59">
        <v>19850.400000000001</v>
      </c>
      <c r="C135" s="59">
        <v>185.76</v>
      </c>
      <c r="D135" s="58">
        <v>1.0535000000000001</v>
      </c>
      <c r="E135" s="59">
        <f t="shared" si="5"/>
        <v>20912.396400000005</v>
      </c>
      <c r="G135" s="58">
        <f t="shared" si="3"/>
        <v>0</v>
      </c>
    </row>
    <row r="136" spans="1:7" x14ac:dyDescent="0.35">
      <c r="A136" s="3">
        <v>40756</v>
      </c>
      <c r="B136" s="59">
        <v>20476.8</v>
      </c>
      <c r="C136" s="59">
        <v>183.84</v>
      </c>
      <c r="D136" s="58">
        <v>1.0535000000000001</v>
      </c>
      <c r="E136" s="59">
        <f t="shared" si="5"/>
        <v>21572.308800000003</v>
      </c>
      <c r="G136" s="58">
        <f t="shared" si="3"/>
        <v>0</v>
      </c>
    </row>
    <row r="137" spans="1:7" x14ac:dyDescent="0.35">
      <c r="A137" s="3">
        <v>40787</v>
      </c>
      <c r="B137" s="59">
        <v>19903.2</v>
      </c>
      <c r="C137" s="59">
        <v>183.84</v>
      </c>
      <c r="D137" s="58">
        <v>1.0535000000000001</v>
      </c>
      <c r="E137" s="59">
        <f t="shared" si="5"/>
        <v>20968.021200000003</v>
      </c>
      <c r="G137" s="58">
        <f t="shared" si="3"/>
        <v>0</v>
      </c>
    </row>
    <row r="138" spans="1:7" x14ac:dyDescent="0.35">
      <c r="A138" s="3">
        <v>40817</v>
      </c>
      <c r="B138" s="59">
        <v>21122.880000000001</v>
      </c>
      <c r="C138" s="59">
        <v>195.36</v>
      </c>
      <c r="D138" s="58">
        <v>1.0535000000000001</v>
      </c>
      <c r="E138" s="59">
        <f t="shared" si="5"/>
        <v>22252.954080000003</v>
      </c>
      <c r="G138" s="58">
        <f t="shared" si="3"/>
        <v>0</v>
      </c>
    </row>
    <row r="139" spans="1:7" x14ac:dyDescent="0.35">
      <c r="A139" s="3">
        <v>40848</v>
      </c>
      <c r="B139" s="59">
        <v>27561.119999999999</v>
      </c>
      <c r="C139" s="59">
        <v>192</v>
      </c>
      <c r="D139" s="58">
        <v>1.0535000000000001</v>
      </c>
      <c r="E139" s="59">
        <f t="shared" si="5"/>
        <v>29035.639920000001</v>
      </c>
      <c r="G139" s="58">
        <f t="shared" si="3"/>
        <v>0</v>
      </c>
    </row>
    <row r="140" spans="1:7" x14ac:dyDescent="0.35">
      <c r="A140" s="3">
        <v>40878</v>
      </c>
      <c r="B140" s="59">
        <v>36986.400000000001</v>
      </c>
      <c r="C140" s="59">
        <v>196.8</v>
      </c>
      <c r="D140" s="58">
        <v>1.0535000000000001</v>
      </c>
      <c r="E140" s="59">
        <f t="shared" si="5"/>
        <v>38965.172400000003</v>
      </c>
      <c r="G140" s="58">
        <f t="shared" si="3"/>
        <v>0</v>
      </c>
    </row>
    <row r="141" spans="1:7" x14ac:dyDescent="0.35">
      <c r="A141" s="3">
        <v>40909</v>
      </c>
      <c r="B141" s="59">
        <v>40893</v>
      </c>
      <c r="D141" s="58">
        <v>1.0535000000000001</v>
      </c>
      <c r="E141" s="59">
        <f t="shared" ref="E141:E200" si="6">B141*D141</f>
        <v>43080.775500000003</v>
      </c>
      <c r="G141" s="58">
        <f t="shared" si="3"/>
        <v>0</v>
      </c>
    </row>
    <row r="142" spans="1:7" x14ac:dyDescent="0.35">
      <c r="A142" s="3">
        <v>40940</v>
      </c>
      <c r="B142" s="59">
        <v>33165</v>
      </c>
      <c r="D142" s="58">
        <v>1.0535000000000001</v>
      </c>
      <c r="E142" s="59">
        <f t="shared" si="6"/>
        <v>34939.327500000007</v>
      </c>
      <c r="G142" s="58">
        <f t="shared" si="3"/>
        <v>0</v>
      </c>
    </row>
    <row r="143" spans="1:7" x14ac:dyDescent="0.35">
      <c r="A143" s="3">
        <v>40969</v>
      </c>
      <c r="B143" s="59">
        <v>30522</v>
      </c>
      <c r="C143"/>
      <c r="D143" s="58">
        <v>1.0535000000000001</v>
      </c>
      <c r="E143" s="59">
        <f t="shared" si="6"/>
        <v>32154.927000000003</v>
      </c>
      <c r="G143" s="58">
        <f t="shared" si="3"/>
        <v>0</v>
      </c>
    </row>
    <row r="144" spans="1:7" x14ac:dyDescent="0.35">
      <c r="A144" s="3">
        <v>41000</v>
      </c>
      <c r="B144" s="59">
        <v>24122</v>
      </c>
      <c r="C144"/>
      <c r="D144" s="58">
        <v>1.0535000000000001</v>
      </c>
      <c r="E144" s="59">
        <f t="shared" si="6"/>
        <v>25412.527000000002</v>
      </c>
      <c r="G144" s="58">
        <f t="shared" si="3"/>
        <v>0</v>
      </c>
    </row>
    <row r="145" spans="1:7" x14ac:dyDescent="0.35">
      <c r="A145" s="3">
        <v>41030</v>
      </c>
      <c r="B145" s="59">
        <v>20697</v>
      </c>
      <c r="C145"/>
      <c r="D145" s="58">
        <v>1.0535000000000001</v>
      </c>
      <c r="E145" s="59">
        <f t="shared" si="6"/>
        <v>21804.289500000003</v>
      </c>
      <c r="G145" s="58">
        <f t="shared" si="3"/>
        <v>0</v>
      </c>
    </row>
    <row r="146" spans="1:7" x14ac:dyDescent="0.35">
      <c r="A146" s="3">
        <v>41061</v>
      </c>
      <c r="B146" s="59">
        <v>17757</v>
      </c>
      <c r="C146"/>
      <c r="D146" s="58">
        <v>1.0535000000000001</v>
      </c>
      <c r="E146" s="59">
        <f t="shared" si="6"/>
        <v>18706.999500000002</v>
      </c>
      <c r="G146" s="58">
        <f t="shared" ref="G146:G200" si="7">IF(E146&gt;900000,1,IF(E146&gt;$H$79,0.5,0))</f>
        <v>0</v>
      </c>
    </row>
    <row r="147" spans="1:7" x14ac:dyDescent="0.35">
      <c r="A147" s="3">
        <v>41091</v>
      </c>
      <c r="B147" s="59">
        <v>16804</v>
      </c>
      <c r="C147"/>
      <c r="D147" s="58">
        <v>1.0535000000000001</v>
      </c>
      <c r="E147" s="59">
        <f t="shared" si="6"/>
        <v>17703.014000000003</v>
      </c>
      <c r="G147" s="58">
        <f t="shared" si="7"/>
        <v>0</v>
      </c>
    </row>
    <row r="148" spans="1:7" x14ac:dyDescent="0.35">
      <c r="A148" s="3">
        <v>41122</v>
      </c>
      <c r="B148" s="59">
        <v>17470</v>
      </c>
      <c r="C148"/>
      <c r="D148" s="58">
        <v>1.0535000000000001</v>
      </c>
      <c r="E148" s="59">
        <f t="shared" si="6"/>
        <v>18404.645</v>
      </c>
      <c r="G148" s="58">
        <f t="shared" si="7"/>
        <v>0</v>
      </c>
    </row>
    <row r="149" spans="1:7" x14ac:dyDescent="0.35">
      <c r="A149" s="3">
        <v>41153</v>
      </c>
      <c r="B149" s="59">
        <v>18294</v>
      </c>
      <c r="D149" s="58">
        <v>1.0535000000000001</v>
      </c>
      <c r="E149" s="59">
        <f t="shared" si="6"/>
        <v>19272.729000000003</v>
      </c>
      <c r="G149" s="58">
        <f t="shared" si="7"/>
        <v>0</v>
      </c>
    </row>
    <row r="150" spans="1:7" x14ac:dyDescent="0.35">
      <c r="A150" s="3">
        <v>41183</v>
      </c>
      <c r="B150" s="59">
        <v>24071</v>
      </c>
      <c r="D150" s="58">
        <v>1.0535000000000001</v>
      </c>
      <c r="E150" s="59">
        <f t="shared" si="6"/>
        <v>25358.798500000001</v>
      </c>
      <c r="G150" s="58">
        <f t="shared" si="7"/>
        <v>0</v>
      </c>
    </row>
    <row r="151" spans="1:7" x14ac:dyDescent="0.35">
      <c r="A151" s="3">
        <v>41214</v>
      </c>
      <c r="B151" s="59">
        <v>45151</v>
      </c>
      <c r="D151" s="58">
        <v>1.0535000000000001</v>
      </c>
      <c r="E151" s="59">
        <f t="shared" si="6"/>
        <v>47566.578500000003</v>
      </c>
      <c r="G151" s="58">
        <f t="shared" si="7"/>
        <v>0</v>
      </c>
    </row>
    <row r="152" spans="1:7" x14ac:dyDescent="0.35">
      <c r="A152" s="3">
        <v>41244</v>
      </c>
      <c r="B152" s="59">
        <v>74475</v>
      </c>
      <c r="D152" s="58">
        <v>1.0535000000000001</v>
      </c>
      <c r="E152" s="59">
        <f t="shared" si="6"/>
        <v>78459.412500000006</v>
      </c>
      <c r="G152" s="58">
        <f t="shared" si="7"/>
        <v>0</v>
      </c>
    </row>
    <row r="153" spans="1:7" x14ac:dyDescent="0.35">
      <c r="A153" s="3">
        <v>41275</v>
      </c>
      <c r="B153" s="59">
        <v>159120</v>
      </c>
      <c r="C153" s="59">
        <v>1183.2</v>
      </c>
      <c r="D153" s="58">
        <v>1.0535000000000001</v>
      </c>
      <c r="E153" s="59">
        <f t="shared" si="6"/>
        <v>167632.92000000001</v>
      </c>
      <c r="G153" s="58">
        <f t="shared" si="7"/>
        <v>0</v>
      </c>
    </row>
    <row r="154" spans="1:7" x14ac:dyDescent="0.35">
      <c r="A154" s="3">
        <v>41306</v>
      </c>
      <c r="B154" s="59">
        <v>280992</v>
      </c>
      <c r="C154" s="59">
        <v>1722.72</v>
      </c>
      <c r="D154" s="58">
        <v>1.0535000000000001</v>
      </c>
      <c r="E154" s="59">
        <f t="shared" si="6"/>
        <v>296025.07200000004</v>
      </c>
      <c r="G154" s="58">
        <f t="shared" si="7"/>
        <v>0</v>
      </c>
    </row>
    <row r="155" spans="1:7" x14ac:dyDescent="0.35">
      <c r="A155" s="3">
        <v>41334</v>
      </c>
      <c r="B155" s="59">
        <v>309504</v>
      </c>
      <c r="C155" s="59">
        <v>1774.56</v>
      </c>
      <c r="D155" s="58">
        <v>1.0535000000000001</v>
      </c>
      <c r="E155" s="59">
        <f t="shared" si="6"/>
        <v>326062.46400000004</v>
      </c>
      <c r="G155" s="58">
        <f t="shared" si="7"/>
        <v>0</v>
      </c>
    </row>
    <row r="156" spans="1:7" x14ac:dyDescent="0.35">
      <c r="A156" s="3">
        <v>41365</v>
      </c>
      <c r="B156" s="59">
        <v>422880</v>
      </c>
      <c r="C156" s="59">
        <v>1886.88</v>
      </c>
      <c r="D156" s="58">
        <v>1.0535000000000001</v>
      </c>
      <c r="E156" s="59">
        <f t="shared" si="6"/>
        <v>445504.08</v>
      </c>
      <c r="G156" s="58">
        <f t="shared" si="7"/>
        <v>0.5</v>
      </c>
    </row>
    <row r="157" spans="1:7" x14ac:dyDescent="0.35">
      <c r="A157" s="3">
        <v>41395</v>
      </c>
      <c r="B157" s="59">
        <v>458064</v>
      </c>
      <c r="C157" s="59">
        <v>1994.88</v>
      </c>
      <c r="D157" s="58">
        <v>1.0535000000000001</v>
      </c>
      <c r="E157" s="59">
        <f t="shared" si="6"/>
        <v>482570.42400000006</v>
      </c>
      <c r="G157" s="58">
        <f t="shared" si="7"/>
        <v>0.5</v>
      </c>
    </row>
    <row r="158" spans="1:7" x14ac:dyDescent="0.35">
      <c r="A158" s="3">
        <v>41426</v>
      </c>
      <c r="B158" s="59">
        <v>395040</v>
      </c>
      <c r="C158" s="59">
        <v>2307.84</v>
      </c>
      <c r="D158" s="58">
        <v>1.0535000000000001</v>
      </c>
      <c r="E158" s="59">
        <f t="shared" si="6"/>
        <v>416174.64</v>
      </c>
      <c r="G158" s="58">
        <f t="shared" si="7"/>
        <v>0.5</v>
      </c>
    </row>
    <row r="159" spans="1:7" x14ac:dyDescent="0.35">
      <c r="A159" s="3">
        <v>41456</v>
      </c>
      <c r="B159" s="59">
        <v>483504</v>
      </c>
      <c r="C159" s="59">
        <v>2204.16</v>
      </c>
      <c r="D159" s="58">
        <v>1.0535000000000001</v>
      </c>
      <c r="E159" s="59">
        <f t="shared" si="6"/>
        <v>509371.46400000004</v>
      </c>
      <c r="G159" s="58">
        <f t="shared" si="7"/>
        <v>0.5</v>
      </c>
    </row>
    <row r="160" spans="1:7" x14ac:dyDescent="0.35">
      <c r="A160" s="3">
        <v>41487</v>
      </c>
      <c r="B160" s="59">
        <v>478992</v>
      </c>
      <c r="C160" s="59">
        <v>2347.1999999999998</v>
      </c>
      <c r="D160" s="58">
        <v>1.0535000000000001</v>
      </c>
      <c r="E160" s="59">
        <f t="shared" si="6"/>
        <v>504618.07200000004</v>
      </c>
      <c r="G160" s="58">
        <f t="shared" si="7"/>
        <v>0.5</v>
      </c>
    </row>
    <row r="161" spans="1:7" x14ac:dyDescent="0.35">
      <c r="A161" s="3">
        <v>41518</v>
      </c>
      <c r="B161" s="59">
        <v>417792</v>
      </c>
      <c r="C161" s="59">
        <v>2378.4</v>
      </c>
      <c r="D161" s="58">
        <v>1.0788</v>
      </c>
      <c r="E161" s="59">
        <f t="shared" si="6"/>
        <v>450714.00959999999</v>
      </c>
      <c r="G161" s="58">
        <f t="shared" si="7"/>
        <v>0.5</v>
      </c>
    </row>
    <row r="162" spans="1:7" x14ac:dyDescent="0.35">
      <c r="A162" s="3">
        <v>41548</v>
      </c>
      <c r="B162" s="59">
        <v>459264</v>
      </c>
      <c r="C162" s="59">
        <v>2280.96</v>
      </c>
      <c r="D162" s="58">
        <v>1.0788</v>
      </c>
      <c r="E162" s="59">
        <f t="shared" si="6"/>
        <v>495454.00319999998</v>
      </c>
      <c r="G162" s="58">
        <f t="shared" si="7"/>
        <v>0.5</v>
      </c>
    </row>
    <row r="163" spans="1:7" x14ac:dyDescent="0.35">
      <c r="A163" s="3">
        <v>41579</v>
      </c>
      <c r="B163" s="59">
        <v>540624</v>
      </c>
      <c r="C163" s="59">
        <v>2447.52</v>
      </c>
      <c r="D163" s="58">
        <v>1.0788</v>
      </c>
      <c r="E163" s="59">
        <f t="shared" si="6"/>
        <v>583225.17119999998</v>
      </c>
      <c r="G163" s="58">
        <f t="shared" si="7"/>
        <v>0.5</v>
      </c>
    </row>
    <row r="164" spans="1:7" x14ac:dyDescent="0.35">
      <c r="A164" s="3">
        <v>41609</v>
      </c>
      <c r="B164" s="59">
        <v>529296</v>
      </c>
      <c r="C164" s="59">
        <v>2357.7600000000002</v>
      </c>
      <c r="D164" s="58">
        <v>1.0788</v>
      </c>
      <c r="E164" s="59">
        <f t="shared" si="6"/>
        <v>571004.52480000001</v>
      </c>
      <c r="G164" s="58">
        <f t="shared" si="7"/>
        <v>0.5</v>
      </c>
    </row>
    <row r="165" spans="1:7" x14ac:dyDescent="0.35">
      <c r="A165" s="3">
        <v>41640</v>
      </c>
      <c r="B165" s="59">
        <v>615168</v>
      </c>
      <c r="C165" s="59">
        <v>2388.48</v>
      </c>
      <c r="D165" s="58">
        <v>1.0788</v>
      </c>
      <c r="E165" s="59">
        <f t="shared" si="6"/>
        <v>663643.23840000003</v>
      </c>
      <c r="G165" s="58">
        <f t="shared" si="7"/>
        <v>0.5</v>
      </c>
    </row>
    <row r="166" spans="1:7" x14ac:dyDescent="0.35">
      <c r="A166" s="3">
        <v>41671</v>
      </c>
      <c r="B166" s="59">
        <v>558672</v>
      </c>
      <c r="C166" s="59">
        <v>2416.8000000000002</v>
      </c>
      <c r="D166" s="58">
        <v>1.0788</v>
      </c>
      <c r="E166" s="59">
        <f t="shared" si="6"/>
        <v>602695.35360000003</v>
      </c>
      <c r="G166" s="58">
        <f t="shared" si="7"/>
        <v>0.5</v>
      </c>
    </row>
    <row r="167" spans="1:7" x14ac:dyDescent="0.35">
      <c r="A167" s="3">
        <v>41699</v>
      </c>
      <c r="B167" s="59">
        <v>587088</v>
      </c>
      <c r="C167" s="59">
        <v>2314.56</v>
      </c>
      <c r="D167" s="58">
        <v>1.0788</v>
      </c>
      <c r="E167" s="59">
        <f t="shared" si="6"/>
        <v>633350.5344</v>
      </c>
      <c r="G167" s="58">
        <f t="shared" si="7"/>
        <v>0.5</v>
      </c>
    </row>
    <row r="168" spans="1:7" x14ac:dyDescent="0.35">
      <c r="A168" s="3">
        <v>41730</v>
      </c>
      <c r="B168" s="59">
        <v>563664</v>
      </c>
      <c r="C168" s="59">
        <v>2273.7600000000002</v>
      </c>
      <c r="D168" s="58">
        <v>1.0788</v>
      </c>
      <c r="E168" s="59">
        <f t="shared" si="6"/>
        <v>608080.72320000001</v>
      </c>
      <c r="G168" s="58">
        <f t="shared" si="7"/>
        <v>0.5</v>
      </c>
    </row>
    <row r="169" spans="1:7" x14ac:dyDescent="0.35">
      <c r="A169" s="3">
        <v>41760</v>
      </c>
      <c r="B169" s="59">
        <v>531120</v>
      </c>
      <c r="C169" s="59">
        <v>2328</v>
      </c>
      <c r="D169" s="58">
        <v>1.0788</v>
      </c>
      <c r="E169" s="59">
        <f t="shared" si="6"/>
        <v>572972.25599999994</v>
      </c>
      <c r="G169" s="58">
        <f t="shared" si="7"/>
        <v>0.5</v>
      </c>
    </row>
    <row r="170" spans="1:7" x14ac:dyDescent="0.35">
      <c r="A170" s="3">
        <v>41791</v>
      </c>
      <c r="B170" s="59">
        <v>465408</v>
      </c>
      <c r="C170" s="59">
        <v>2418.7199999999998</v>
      </c>
      <c r="D170" s="58">
        <v>1.0788</v>
      </c>
      <c r="E170" s="59">
        <f t="shared" si="6"/>
        <v>502082.15039999998</v>
      </c>
      <c r="G170" s="58">
        <f t="shared" si="7"/>
        <v>0.5</v>
      </c>
    </row>
    <row r="171" spans="1:7" x14ac:dyDescent="0.35">
      <c r="A171" s="3">
        <v>41821</v>
      </c>
      <c r="B171" s="59">
        <v>527184</v>
      </c>
      <c r="C171" s="59">
        <v>2379.36</v>
      </c>
      <c r="D171" s="58">
        <v>1.0788</v>
      </c>
      <c r="E171" s="59">
        <f t="shared" si="6"/>
        <v>568726.09919999994</v>
      </c>
      <c r="G171" s="58">
        <f t="shared" si="7"/>
        <v>0.5</v>
      </c>
    </row>
    <row r="172" spans="1:7" x14ac:dyDescent="0.35">
      <c r="A172" s="3">
        <v>41852</v>
      </c>
      <c r="B172" s="59">
        <v>518016</v>
      </c>
      <c r="C172" s="59">
        <v>2484.48</v>
      </c>
      <c r="D172" s="58">
        <v>1.0788</v>
      </c>
      <c r="E172" s="59">
        <f t="shared" si="6"/>
        <v>558835.66079999995</v>
      </c>
      <c r="G172" s="58">
        <f t="shared" si="7"/>
        <v>0.5</v>
      </c>
    </row>
    <row r="173" spans="1:7" x14ac:dyDescent="0.35">
      <c r="A173" s="3">
        <v>41883</v>
      </c>
      <c r="B173" s="59">
        <v>538752</v>
      </c>
      <c r="C173" s="59">
        <v>2477.2800000000002</v>
      </c>
      <c r="D173" s="58">
        <v>1.0788</v>
      </c>
      <c r="E173" s="59">
        <f t="shared" si="6"/>
        <v>581205.65760000004</v>
      </c>
      <c r="G173" s="58">
        <f t="shared" si="7"/>
        <v>0.5</v>
      </c>
    </row>
    <row r="174" spans="1:7" x14ac:dyDescent="0.35">
      <c r="A174" s="3">
        <v>41913</v>
      </c>
      <c r="B174" s="59">
        <v>588672</v>
      </c>
      <c r="C174" s="59">
        <v>2656.32</v>
      </c>
      <c r="D174" s="58">
        <v>1.0788</v>
      </c>
      <c r="E174" s="59">
        <f t="shared" si="6"/>
        <v>635059.35360000003</v>
      </c>
      <c r="G174" s="58">
        <f t="shared" si="7"/>
        <v>0.5</v>
      </c>
    </row>
    <row r="175" spans="1:7" x14ac:dyDescent="0.35">
      <c r="A175" s="3">
        <v>41944</v>
      </c>
      <c r="B175" s="59">
        <v>576864</v>
      </c>
      <c r="C175" s="59">
        <v>2677.92</v>
      </c>
      <c r="D175" s="58">
        <v>1.0788</v>
      </c>
      <c r="E175" s="59">
        <f t="shared" si="6"/>
        <v>622320.88320000004</v>
      </c>
      <c r="G175" s="58">
        <f t="shared" si="7"/>
        <v>0.5</v>
      </c>
    </row>
    <row r="176" spans="1:7" x14ac:dyDescent="0.35">
      <c r="A176" s="3">
        <v>41974</v>
      </c>
      <c r="B176" s="59">
        <v>625968</v>
      </c>
      <c r="C176" s="59">
        <v>2680.32</v>
      </c>
      <c r="D176" s="58">
        <v>1.0788</v>
      </c>
      <c r="E176" s="59">
        <f t="shared" si="6"/>
        <v>675294.27839999995</v>
      </c>
      <c r="G176" s="58">
        <f t="shared" si="7"/>
        <v>0.5</v>
      </c>
    </row>
    <row r="177" spans="1:7" x14ac:dyDescent="0.35">
      <c r="A177" s="3">
        <v>42005</v>
      </c>
      <c r="B177" s="59">
        <v>740592</v>
      </c>
      <c r="C177" s="59">
        <v>2394.7199999999998</v>
      </c>
      <c r="D177" s="58">
        <v>1.0788</v>
      </c>
      <c r="E177" s="59">
        <f t="shared" si="6"/>
        <v>798950.6496</v>
      </c>
      <c r="G177" s="58">
        <f t="shared" si="7"/>
        <v>0.5</v>
      </c>
    </row>
    <row r="178" spans="1:7" x14ac:dyDescent="0.35">
      <c r="A178" s="3">
        <v>42036</v>
      </c>
      <c r="B178" s="59">
        <v>707520</v>
      </c>
      <c r="C178" s="59">
        <v>2357.7600000000002</v>
      </c>
      <c r="D178" s="58">
        <v>1.0788</v>
      </c>
      <c r="E178" s="59">
        <f t="shared" si="6"/>
        <v>763272.576</v>
      </c>
      <c r="G178" s="58">
        <f t="shared" si="7"/>
        <v>0.5</v>
      </c>
    </row>
    <row r="179" spans="1:7" x14ac:dyDescent="0.35">
      <c r="A179" s="3">
        <v>42064</v>
      </c>
      <c r="B179" s="59">
        <v>668256</v>
      </c>
      <c r="C179" s="59">
        <v>2233.44</v>
      </c>
      <c r="D179" s="58">
        <v>1.0788</v>
      </c>
      <c r="E179" s="59">
        <f t="shared" si="6"/>
        <v>720914.57279999997</v>
      </c>
      <c r="G179" s="58">
        <f t="shared" si="7"/>
        <v>0.5</v>
      </c>
    </row>
    <row r="180" spans="1:7" x14ac:dyDescent="0.35">
      <c r="A180" s="3">
        <v>42095</v>
      </c>
      <c r="B180" s="59">
        <v>649680</v>
      </c>
      <c r="C180" s="59">
        <v>2456.16</v>
      </c>
      <c r="D180" s="58">
        <v>1.0788</v>
      </c>
      <c r="E180" s="59">
        <f t="shared" si="6"/>
        <v>700874.78399999999</v>
      </c>
      <c r="G180" s="58">
        <f t="shared" si="7"/>
        <v>0.5</v>
      </c>
    </row>
    <row r="181" spans="1:7" x14ac:dyDescent="0.35">
      <c r="A181" s="3">
        <v>42125</v>
      </c>
      <c r="B181" s="59">
        <v>486816</v>
      </c>
      <c r="C181" s="59">
        <v>2334.7199999999998</v>
      </c>
      <c r="D181" s="58">
        <v>1.0788</v>
      </c>
      <c r="E181" s="59">
        <f t="shared" si="6"/>
        <v>525177.10080000001</v>
      </c>
      <c r="G181" s="58">
        <f t="shared" si="7"/>
        <v>0.5</v>
      </c>
    </row>
    <row r="182" spans="1:7" x14ac:dyDescent="0.35">
      <c r="A182" s="3">
        <v>42156</v>
      </c>
      <c r="B182" s="59">
        <v>604176</v>
      </c>
      <c r="C182" s="59">
        <v>2453.7600000000002</v>
      </c>
      <c r="D182" s="58">
        <v>1.0788</v>
      </c>
      <c r="E182" s="59">
        <f t="shared" si="6"/>
        <v>651785.06880000001</v>
      </c>
      <c r="G182" s="58">
        <f t="shared" si="7"/>
        <v>0.5</v>
      </c>
    </row>
    <row r="183" spans="1:7" x14ac:dyDescent="0.35">
      <c r="A183" s="3">
        <v>42186</v>
      </c>
      <c r="B183" s="59">
        <v>492720</v>
      </c>
      <c r="C183" s="59">
        <v>2379.36</v>
      </c>
      <c r="D183" s="58">
        <v>1.0788</v>
      </c>
      <c r="E183" s="59">
        <f t="shared" si="6"/>
        <v>531546.33600000001</v>
      </c>
      <c r="G183" s="58">
        <f t="shared" si="7"/>
        <v>0.5</v>
      </c>
    </row>
    <row r="184" spans="1:7" x14ac:dyDescent="0.35">
      <c r="A184" s="3">
        <v>42217</v>
      </c>
      <c r="B184" s="59">
        <v>502224</v>
      </c>
      <c r="C184" s="59">
        <v>2405.2800000000002</v>
      </c>
      <c r="D184" s="58">
        <v>1.0788</v>
      </c>
      <c r="E184" s="59">
        <f t="shared" si="6"/>
        <v>541799.25119999994</v>
      </c>
      <c r="G184" s="58">
        <f t="shared" si="7"/>
        <v>0.5</v>
      </c>
    </row>
    <row r="185" spans="1:7" x14ac:dyDescent="0.35">
      <c r="A185" s="3">
        <v>42248</v>
      </c>
      <c r="B185" s="59">
        <v>250272</v>
      </c>
      <c r="C185" s="59">
        <v>2440.3200000000002</v>
      </c>
      <c r="D185" s="58">
        <v>1.0788</v>
      </c>
      <c r="E185" s="59">
        <f t="shared" si="6"/>
        <v>269993.43359999999</v>
      </c>
      <c r="G185" s="58">
        <f t="shared" si="7"/>
        <v>0</v>
      </c>
    </row>
    <row r="186" spans="1:7" x14ac:dyDescent="0.35">
      <c r="A186" s="3">
        <v>42278</v>
      </c>
      <c r="B186" s="59">
        <v>97488</v>
      </c>
      <c r="C186" s="59">
        <v>205.92</v>
      </c>
      <c r="D186" s="58">
        <v>1.0788</v>
      </c>
      <c r="E186" s="59">
        <f t="shared" si="6"/>
        <v>105170.05439999999</v>
      </c>
      <c r="G186" s="58">
        <f t="shared" si="7"/>
        <v>0</v>
      </c>
    </row>
    <row r="187" spans="1:7" x14ac:dyDescent="0.35">
      <c r="A187" s="3">
        <v>42309</v>
      </c>
      <c r="B187" s="59">
        <v>89376</v>
      </c>
      <c r="C187" s="59">
        <v>315.36</v>
      </c>
      <c r="D187" s="58">
        <v>1.0788</v>
      </c>
      <c r="E187" s="59">
        <f t="shared" si="6"/>
        <v>96418.828800000003</v>
      </c>
      <c r="G187" s="58">
        <f t="shared" si="7"/>
        <v>0</v>
      </c>
    </row>
    <row r="188" spans="1:7" x14ac:dyDescent="0.35">
      <c r="A188" s="3">
        <v>42339</v>
      </c>
      <c r="B188" s="59">
        <v>101040</v>
      </c>
      <c r="C188" s="59">
        <v>293.76</v>
      </c>
      <c r="D188" s="58">
        <v>1.0788</v>
      </c>
      <c r="E188" s="59">
        <f t="shared" si="6"/>
        <v>109001.952</v>
      </c>
      <c r="G188" s="58">
        <f t="shared" si="7"/>
        <v>0</v>
      </c>
    </row>
    <row r="189" spans="1:7" x14ac:dyDescent="0.35">
      <c r="A189" s="3">
        <v>42370</v>
      </c>
      <c r="B189" s="59">
        <v>107520</v>
      </c>
      <c r="C189" s="59">
        <v>310.08</v>
      </c>
      <c r="D189" s="58">
        <v>1.0788</v>
      </c>
      <c r="E189" s="59">
        <f t="shared" si="6"/>
        <v>115992.576</v>
      </c>
      <c r="G189" s="58">
        <f t="shared" si="7"/>
        <v>0</v>
      </c>
    </row>
    <row r="190" spans="1:7" x14ac:dyDescent="0.35">
      <c r="A190" s="3">
        <v>42401</v>
      </c>
      <c r="B190" s="59">
        <v>86928</v>
      </c>
      <c r="C190" s="59">
        <v>150.24</v>
      </c>
      <c r="D190" s="58">
        <v>1.0788</v>
      </c>
      <c r="E190" s="59">
        <f t="shared" si="6"/>
        <v>93777.926399999997</v>
      </c>
      <c r="G190" s="58">
        <f t="shared" si="7"/>
        <v>0</v>
      </c>
    </row>
    <row r="191" spans="1:7" x14ac:dyDescent="0.35">
      <c r="A191" s="3">
        <v>42430</v>
      </c>
      <c r="B191" s="59">
        <v>78720</v>
      </c>
      <c r="C191" s="59">
        <v>192.96</v>
      </c>
      <c r="D191" s="58">
        <v>1.0788</v>
      </c>
      <c r="E191" s="59">
        <f t="shared" si="6"/>
        <v>84923.135999999999</v>
      </c>
      <c r="G191" s="58">
        <f t="shared" si="7"/>
        <v>0</v>
      </c>
    </row>
    <row r="192" spans="1:7" x14ac:dyDescent="0.35">
      <c r="A192" s="3">
        <v>42461</v>
      </c>
      <c r="B192" s="59">
        <v>70752</v>
      </c>
      <c r="C192" s="59">
        <v>130.56</v>
      </c>
      <c r="D192" s="58">
        <v>1.0788</v>
      </c>
      <c r="E192" s="59">
        <f t="shared" si="6"/>
        <v>76327.257599999997</v>
      </c>
      <c r="G192" s="58">
        <f t="shared" si="7"/>
        <v>0</v>
      </c>
    </row>
    <row r="193" spans="1:7" x14ac:dyDescent="0.35">
      <c r="A193" s="3">
        <v>42491</v>
      </c>
      <c r="B193" s="59">
        <v>52464</v>
      </c>
      <c r="C193" s="59">
        <v>104.64</v>
      </c>
      <c r="D193" s="58">
        <v>1.0788</v>
      </c>
      <c r="E193" s="59">
        <f t="shared" si="6"/>
        <v>56598.163199999995</v>
      </c>
      <c r="G193" s="58">
        <f t="shared" si="7"/>
        <v>0</v>
      </c>
    </row>
    <row r="194" spans="1:7" x14ac:dyDescent="0.35">
      <c r="A194" s="3">
        <v>42522</v>
      </c>
      <c r="B194" s="59">
        <v>47280</v>
      </c>
      <c r="C194" s="59">
        <v>76.319999999999993</v>
      </c>
      <c r="D194" s="58">
        <v>1.0788</v>
      </c>
      <c r="E194" s="59">
        <f t="shared" si="6"/>
        <v>51005.663999999997</v>
      </c>
      <c r="G194" s="58">
        <f t="shared" si="7"/>
        <v>0</v>
      </c>
    </row>
    <row r="195" spans="1:7" x14ac:dyDescent="0.35">
      <c r="A195" s="3">
        <v>42552</v>
      </c>
      <c r="B195" s="59">
        <v>46992</v>
      </c>
      <c r="C195" s="59">
        <v>199.2</v>
      </c>
      <c r="D195" s="58">
        <v>1.0788</v>
      </c>
      <c r="E195" s="59">
        <f t="shared" si="6"/>
        <v>50694.969599999997</v>
      </c>
      <c r="G195" s="58">
        <f t="shared" si="7"/>
        <v>0</v>
      </c>
    </row>
    <row r="196" spans="1:7" x14ac:dyDescent="0.35">
      <c r="A196" s="3">
        <v>42583</v>
      </c>
      <c r="B196" s="59">
        <v>35808</v>
      </c>
      <c r="C196" s="59">
        <v>213.12</v>
      </c>
      <c r="D196" s="58">
        <v>1.0788</v>
      </c>
      <c r="E196" s="59">
        <f t="shared" si="6"/>
        <v>38629.670400000003</v>
      </c>
      <c r="G196" s="58">
        <f t="shared" si="7"/>
        <v>0</v>
      </c>
    </row>
    <row r="197" spans="1:7" x14ac:dyDescent="0.35">
      <c r="A197" s="3">
        <v>42614</v>
      </c>
      <c r="B197" s="59">
        <v>336</v>
      </c>
      <c r="C197" s="59">
        <v>5.25</v>
      </c>
      <c r="D197" s="58">
        <v>1.0788</v>
      </c>
      <c r="E197" s="59">
        <f t="shared" si="6"/>
        <v>362.47679999999997</v>
      </c>
      <c r="G197" s="58">
        <f t="shared" si="7"/>
        <v>0</v>
      </c>
    </row>
    <row r="198" spans="1:7" x14ac:dyDescent="0.35">
      <c r="A198" s="3">
        <v>42644</v>
      </c>
      <c r="B198" s="59">
        <v>5088</v>
      </c>
      <c r="C198" s="59">
        <v>36</v>
      </c>
      <c r="D198" s="58">
        <v>1.0788</v>
      </c>
      <c r="E198" s="59">
        <f t="shared" si="6"/>
        <v>5488.9344000000001</v>
      </c>
      <c r="G198" s="58">
        <f t="shared" si="7"/>
        <v>0</v>
      </c>
    </row>
    <row r="199" spans="1:7" x14ac:dyDescent="0.35">
      <c r="A199" s="3">
        <v>42675</v>
      </c>
      <c r="B199" s="59">
        <v>16800</v>
      </c>
      <c r="C199" s="59">
        <v>39.840000000000003</v>
      </c>
      <c r="D199" s="58">
        <v>1.0788</v>
      </c>
      <c r="E199" s="59">
        <f t="shared" si="6"/>
        <v>18123.84</v>
      </c>
      <c r="G199" s="58">
        <f t="shared" si="7"/>
        <v>0</v>
      </c>
    </row>
    <row r="200" spans="1:7" x14ac:dyDescent="0.35">
      <c r="A200" s="3">
        <v>42705</v>
      </c>
      <c r="B200" s="59">
        <v>26640</v>
      </c>
      <c r="C200" s="59">
        <v>50.4</v>
      </c>
      <c r="D200" s="58">
        <v>1.0788</v>
      </c>
      <c r="E200" s="59">
        <f t="shared" si="6"/>
        <v>28739.232</v>
      </c>
      <c r="G200" s="58">
        <f t="shared" si="7"/>
        <v>0</v>
      </c>
    </row>
  </sheetData>
  <phoneticPr fontId="2" type="noConversion"/>
  <pageMargins left="0.7" right="0.7" top="0.75" bottom="0.75" header="0.3" footer="0.3"/>
  <pageSetup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topLeftCell="N1" zoomScaleNormal="100" workbookViewId="0">
      <selection activeCell="V8" sqref="V8"/>
    </sheetView>
  </sheetViews>
  <sheetFormatPr defaultRowHeight="12.5" x14ac:dyDescent="0.25"/>
  <cols>
    <col min="6" max="6" width="9.26953125" style="70" customWidth="1"/>
    <col min="7" max="7" width="9.54296875" style="70" customWidth="1"/>
    <col min="27" max="27" width="11" bestFit="1" customWidth="1"/>
  </cols>
  <sheetData>
    <row r="1" spans="1:30" ht="13" x14ac:dyDescent="0.3">
      <c r="A1" s="18" t="s">
        <v>98</v>
      </c>
    </row>
    <row r="2" spans="1:30" x14ac:dyDescent="0.25">
      <c r="A2" s="71"/>
      <c r="B2" s="71"/>
    </row>
    <row r="3" spans="1:30" x14ac:dyDescent="0.25">
      <c r="A3" s="72" t="s">
        <v>99</v>
      </c>
      <c r="B3" s="72"/>
      <c r="C3" s="72"/>
      <c r="D3" s="72"/>
      <c r="E3" s="72"/>
      <c r="F3" s="73"/>
      <c r="G3" s="73"/>
    </row>
    <row r="4" spans="1:30" x14ac:dyDescent="0.25">
      <c r="A4" s="74"/>
      <c r="B4" s="74"/>
      <c r="C4" s="74"/>
      <c r="D4" s="74"/>
      <c r="E4" s="74"/>
      <c r="F4" s="75"/>
      <c r="G4" s="75"/>
      <c r="I4" s="75"/>
      <c r="K4" s="75"/>
      <c r="M4" s="75"/>
      <c r="O4" s="75"/>
      <c r="Q4" s="75"/>
      <c r="S4" s="75"/>
      <c r="U4" s="75"/>
      <c r="W4" s="75"/>
      <c r="Y4" s="75"/>
    </row>
    <row r="5" spans="1:30" x14ac:dyDescent="0.25">
      <c r="A5" s="76" t="s">
        <v>100</v>
      </c>
      <c r="B5" s="76">
        <v>1992</v>
      </c>
      <c r="C5" s="76">
        <v>1993</v>
      </c>
      <c r="D5" s="76">
        <v>1994</v>
      </c>
      <c r="E5" s="76">
        <v>1995</v>
      </c>
      <c r="F5" s="76">
        <v>1996</v>
      </c>
      <c r="G5" s="76">
        <v>1997</v>
      </c>
      <c r="H5" s="76">
        <v>1998</v>
      </c>
      <c r="I5" s="76">
        <v>1999</v>
      </c>
      <c r="J5" s="76">
        <v>2000</v>
      </c>
      <c r="K5" s="76">
        <f t="shared" ref="K5:Q5" si="0">K25</f>
        <v>2001</v>
      </c>
      <c r="L5" s="76">
        <f t="shared" si="0"/>
        <v>2002</v>
      </c>
      <c r="M5" s="76">
        <f t="shared" si="0"/>
        <v>2003</v>
      </c>
      <c r="N5" s="76">
        <f t="shared" si="0"/>
        <v>2004</v>
      </c>
      <c r="O5" s="76">
        <f t="shared" si="0"/>
        <v>2005</v>
      </c>
      <c r="P5" s="76">
        <f t="shared" si="0"/>
        <v>2006</v>
      </c>
      <c r="Q5" s="76">
        <f t="shared" si="0"/>
        <v>2007</v>
      </c>
      <c r="R5" s="76">
        <v>2008</v>
      </c>
      <c r="S5" s="76">
        <v>2009</v>
      </c>
      <c r="T5" s="76">
        <v>2010</v>
      </c>
      <c r="U5" s="76">
        <v>2011</v>
      </c>
      <c r="V5" s="76">
        <v>2012</v>
      </c>
      <c r="W5" s="76">
        <v>2013</v>
      </c>
      <c r="X5" s="76">
        <v>2014</v>
      </c>
      <c r="Y5" s="76">
        <v>2015</v>
      </c>
      <c r="Z5" s="76">
        <v>2016</v>
      </c>
      <c r="AA5" s="77" t="s">
        <v>101</v>
      </c>
    </row>
    <row r="6" spans="1:30" x14ac:dyDescent="0.25">
      <c r="A6" s="74"/>
      <c r="B6" s="74"/>
      <c r="C6" s="74"/>
      <c r="D6" s="74"/>
      <c r="E6" s="74"/>
      <c r="F6" s="73"/>
      <c r="G6" s="73"/>
    </row>
    <row r="7" spans="1:30" x14ac:dyDescent="0.25">
      <c r="A7" s="78"/>
      <c r="B7" s="78"/>
      <c r="C7" s="78"/>
      <c r="D7" s="78"/>
      <c r="E7" s="78"/>
      <c r="F7" s="73"/>
      <c r="G7" s="73"/>
      <c r="H7" s="73"/>
      <c r="I7" s="73"/>
    </row>
    <row r="8" spans="1:30" x14ac:dyDescent="0.25">
      <c r="A8" s="78" t="s">
        <v>102</v>
      </c>
      <c r="B8" s="79">
        <v>1007.7</v>
      </c>
      <c r="C8" s="79">
        <v>356.8</v>
      </c>
      <c r="D8" s="79">
        <v>1351.1</v>
      </c>
      <c r="E8" s="79">
        <v>1036.8999999999996</v>
      </c>
      <c r="F8" s="79">
        <v>1258.6000000000001</v>
      </c>
      <c r="G8" s="79">
        <v>1143.9000000000001</v>
      </c>
      <c r="H8" s="79">
        <v>993.59999999999957</v>
      </c>
      <c r="I8" s="79">
        <v>1108.9000000000001</v>
      </c>
      <c r="J8" s="79">
        <v>1110.3999999999999</v>
      </c>
      <c r="K8" s="79">
        <v>943.29999999999984</v>
      </c>
      <c r="L8" s="79">
        <v>1025.8000000000002</v>
      </c>
      <c r="M8" s="79">
        <v>1112.8999999999999</v>
      </c>
      <c r="N8" s="79">
        <v>1245.2000000000003</v>
      </c>
      <c r="O8" s="79">
        <v>1155.5999999999999</v>
      </c>
      <c r="P8" s="79">
        <v>869.7</v>
      </c>
      <c r="Q8" s="79">
        <v>1026.4999999999998</v>
      </c>
      <c r="R8" s="79">
        <v>1044.3999999999996</v>
      </c>
      <c r="S8" s="79">
        <v>1173.7999999999997</v>
      </c>
      <c r="T8" s="79">
        <v>1017.8000000000001</v>
      </c>
      <c r="U8" s="79">
        <v>1156.5999999999999</v>
      </c>
      <c r="V8" s="79">
        <f>'Purchased Power Model '!C63</f>
        <v>955.7</v>
      </c>
      <c r="W8" s="79">
        <f>'Purchased Power Model '!C75</f>
        <v>1396</v>
      </c>
      <c r="X8" s="79">
        <f>'Purchased Power Model '!C87</f>
        <v>1244.5999999999999</v>
      </c>
      <c r="Y8" s="79">
        <f>'Purchased Power Model '!C99</f>
        <v>1109.8</v>
      </c>
      <c r="Z8" s="79">
        <f>'Purchased Power Model '!C111</f>
        <v>1005.4999999999999</v>
      </c>
      <c r="AA8" s="80">
        <f>TREND(G8:Z8,$G$5:$Z$5,2018)</f>
        <v>1137.0333082706766</v>
      </c>
      <c r="AC8" s="16"/>
      <c r="AD8" s="81"/>
    </row>
    <row r="9" spans="1:30" x14ac:dyDescent="0.25">
      <c r="A9" s="78" t="s">
        <v>103</v>
      </c>
      <c r="B9" s="79">
        <v>887.0999999999998</v>
      </c>
      <c r="C9" s="79">
        <v>478.30000000000007</v>
      </c>
      <c r="D9" s="79">
        <v>1021.7999999999998</v>
      </c>
      <c r="E9" s="79">
        <v>988</v>
      </c>
      <c r="F9" s="79">
        <v>971.49999999999989</v>
      </c>
      <c r="G9" s="79">
        <v>902.59999999999991</v>
      </c>
      <c r="H9" s="79">
        <v>628.20000000000005</v>
      </c>
      <c r="I9" s="79">
        <v>765.59999999999991</v>
      </c>
      <c r="J9" s="79">
        <v>794.2</v>
      </c>
      <c r="K9" s="79">
        <v>987.49999999999989</v>
      </c>
      <c r="L9" s="79">
        <v>808.80000000000018</v>
      </c>
      <c r="M9" s="79">
        <v>1041.7999999999997</v>
      </c>
      <c r="N9" s="79">
        <v>830.39999999999986</v>
      </c>
      <c r="O9" s="79">
        <v>843.5</v>
      </c>
      <c r="P9" s="79">
        <v>982.29999999999984</v>
      </c>
      <c r="Q9" s="79">
        <v>1025.0999999999999</v>
      </c>
      <c r="R9" s="79">
        <v>1016.0999999999999</v>
      </c>
      <c r="S9" s="79">
        <v>890.3</v>
      </c>
      <c r="T9" s="79">
        <v>861.60000000000014</v>
      </c>
      <c r="U9" s="79">
        <v>889.8</v>
      </c>
      <c r="V9" s="79">
        <f>'Purchased Power Model '!C64</f>
        <v>771.3000000000003</v>
      </c>
      <c r="W9" s="79">
        <f>'Purchased Power Model '!C76</f>
        <v>973.78947368421007</v>
      </c>
      <c r="X9" s="79">
        <f>'Purchased Power Model '!C88</f>
        <v>1030.5</v>
      </c>
      <c r="Y9" s="79">
        <f>'Purchased Power Model '!C100</f>
        <v>1127.7</v>
      </c>
      <c r="Z9" s="79">
        <f>'Purchased Power Model '!C112</f>
        <v>949.7</v>
      </c>
      <c r="AA9" s="80">
        <f t="shared" ref="AA9:AA19" si="1">TREND(G9:Z9,$G$5:$Z$5,2018)</f>
        <v>1024.0144558765351</v>
      </c>
      <c r="AC9" s="16"/>
      <c r="AD9" s="81"/>
    </row>
    <row r="10" spans="1:30" x14ac:dyDescent="0.25">
      <c r="A10" s="78" t="s">
        <v>104</v>
      </c>
      <c r="B10" s="79">
        <v>814.89999999999986</v>
      </c>
      <c r="C10" s="79">
        <v>472.39999999999992</v>
      </c>
      <c r="D10" s="79">
        <v>715.5</v>
      </c>
      <c r="E10" s="79">
        <v>714.00000000000011</v>
      </c>
      <c r="F10" s="79">
        <v>907.4</v>
      </c>
      <c r="G10" s="79">
        <v>846.50000000000011</v>
      </c>
      <c r="H10" s="79">
        <v>730.19999999999993</v>
      </c>
      <c r="I10" s="79">
        <v>690.6</v>
      </c>
      <c r="J10" s="79">
        <v>627.50000000000011</v>
      </c>
      <c r="K10" s="79">
        <v>733.69999999999982</v>
      </c>
      <c r="L10" s="79">
        <v>933.1</v>
      </c>
      <c r="M10" s="79">
        <v>825.19999999999993</v>
      </c>
      <c r="N10" s="79">
        <v>749.90000000000009</v>
      </c>
      <c r="O10" s="79">
        <v>815.90000000000032</v>
      </c>
      <c r="P10" s="79">
        <v>703.90000000000009</v>
      </c>
      <c r="Q10" s="79">
        <v>730.4</v>
      </c>
      <c r="R10" s="79">
        <v>848.90000000000009</v>
      </c>
      <c r="S10" s="79">
        <v>785.60000000000025</v>
      </c>
      <c r="T10" s="79">
        <v>530.9</v>
      </c>
      <c r="U10" s="79">
        <v>816</v>
      </c>
      <c r="V10" s="79">
        <f>'Purchased Power Model '!C65</f>
        <v>521.99999999999977</v>
      </c>
      <c r="W10" s="79">
        <f>'Purchased Power Model '!C77</f>
        <v>874.42105263157919</v>
      </c>
      <c r="X10" s="79">
        <f>'Purchased Power Model '!C89</f>
        <v>950.99999999999989</v>
      </c>
      <c r="Y10" s="79">
        <f>'Purchased Power Model '!C101</f>
        <v>766.1</v>
      </c>
      <c r="Z10" s="79">
        <f>'Purchased Power Model '!C113</f>
        <v>681.1</v>
      </c>
      <c r="AA10" s="80">
        <f t="shared" si="1"/>
        <v>753.34695290858724</v>
      </c>
      <c r="AC10" s="16"/>
      <c r="AD10" s="81"/>
    </row>
    <row r="11" spans="1:30" x14ac:dyDescent="0.25">
      <c r="A11" s="78" t="s">
        <v>105</v>
      </c>
      <c r="B11" s="79">
        <v>557.09999999999991</v>
      </c>
      <c r="C11" s="79">
        <v>363.8</v>
      </c>
      <c r="D11" s="79">
        <v>503.9</v>
      </c>
      <c r="E11" s="79">
        <v>549.5</v>
      </c>
      <c r="F11" s="79">
        <v>575.10000000000014</v>
      </c>
      <c r="G11" s="79">
        <v>484.4</v>
      </c>
      <c r="H11" s="79">
        <v>350.7</v>
      </c>
      <c r="I11" s="79">
        <v>383.7000000000001</v>
      </c>
      <c r="J11" s="79">
        <v>498.59999999999991</v>
      </c>
      <c r="K11" s="79">
        <v>425.3</v>
      </c>
      <c r="L11" s="79">
        <v>539.59999999999991</v>
      </c>
      <c r="M11" s="79">
        <v>482.00000000000006</v>
      </c>
      <c r="N11" s="79">
        <v>489.80000000000013</v>
      </c>
      <c r="O11" s="79">
        <v>358.20000000000005</v>
      </c>
      <c r="P11" s="79">
        <v>327.69999999999993</v>
      </c>
      <c r="Q11" s="79">
        <v>482.60000000000008</v>
      </c>
      <c r="R11" s="79">
        <v>505.9</v>
      </c>
      <c r="S11" s="79">
        <v>465.4</v>
      </c>
      <c r="T11" s="79">
        <v>324.10000000000002</v>
      </c>
      <c r="U11" s="79">
        <v>465.9</v>
      </c>
      <c r="V11" s="79">
        <f>'Purchased Power Model '!C66</f>
        <v>415.8</v>
      </c>
      <c r="W11" s="79">
        <f>'Purchased Power Model '!C78</f>
        <v>614.9473684210526</v>
      </c>
      <c r="X11" s="79">
        <f>'Purchased Power Model '!C90</f>
        <v>600.4</v>
      </c>
      <c r="Y11" s="79">
        <f>'Purchased Power Model '!C102</f>
        <v>494.90000000000015</v>
      </c>
      <c r="Z11" s="79">
        <f>'Purchased Power Model '!C114</f>
        <v>552.9</v>
      </c>
      <c r="AA11" s="80">
        <f t="shared" si="1"/>
        <v>524.69603878116322</v>
      </c>
      <c r="AC11" s="16"/>
      <c r="AD11" s="81"/>
    </row>
    <row r="12" spans="1:30" x14ac:dyDescent="0.25">
      <c r="A12" s="78" t="s">
        <v>83</v>
      </c>
      <c r="B12" s="79">
        <v>230.20000000000005</v>
      </c>
      <c r="C12" s="79">
        <v>181.30000000000004</v>
      </c>
      <c r="D12" s="79">
        <v>230.39999999999995</v>
      </c>
      <c r="E12" s="79">
        <v>267.39999999999998</v>
      </c>
      <c r="F12" s="79">
        <v>314.59999999999985</v>
      </c>
      <c r="G12" s="79">
        <v>326.89999999999998</v>
      </c>
      <c r="H12" s="79">
        <v>192.1</v>
      </c>
      <c r="I12" s="79">
        <v>193.6</v>
      </c>
      <c r="J12" s="79">
        <v>215.4</v>
      </c>
      <c r="K12" s="79">
        <v>201.60000000000005</v>
      </c>
      <c r="L12" s="79">
        <v>358.49999999999994</v>
      </c>
      <c r="M12" s="79">
        <v>165.3</v>
      </c>
      <c r="N12" s="79">
        <v>360.49999999999994</v>
      </c>
      <c r="O12" s="79">
        <v>260.90000000000003</v>
      </c>
      <c r="P12" s="79">
        <v>213.80000000000004</v>
      </c>
      <c r="Q12" s="79">
        <v>191.00000000000003</v>
      </c>
      <c r="R12" s="79">
        <v>341.79999999999995</v>
      </c>
      <c r="S12" s="79">
        <v>344</v>
      </c>
      <c r="T12" s="79">
        <v>196.19999999999996</v>
      </c>
      <c r="U12" s="79">
        <v>237.4</v>
      </c>
      <c r="V12" s="79">
        <f>'Purchased Power Model '!C67</f>
        <v>214.09999999999994</v>
      </c>
      <c r="W12" s="79">
        <f>'Purchased Power Model '!C79</f>
        <v>294.00000000000011</v>
      </c>
      <c r="X12" s="79">
        <f>'Purchased Power Model '!C91</f>
        <v>278.09999999999997</v>
      </c>
      <c r="Y12" s="79">
        <f>'Purchased Power Model '!C103</f>
        <v>279.8</v>
      </c>
      <c r="Z12" s="79">
        <f>'Purchased Power Model '!C115</f>
        <v>226.20000000000007</v>
      </c>
      <c r="AA12" s="80">
        <f t="shared" si="1"/>
        <v>265.52563909774426</v>
      </c>
      <c r="AC12" s="16"/>
      <c r="AD12" s="81"/>
    </row>
    <row r="13" spans="1:30" x14ac:dyDescent="0.25">
      <c r="A13" s="78" t="s">
        <v>106</v>
      </c>
      <c r="B13" s="79">
        <v>142.20000000000002</v>
      </c>
      <c r="C13" s="79">
        <v>71.899999999999991</v>
      </c>
      <c r="D13" s="79">
        <v>57.500000000000007</v>
      </c>
      <c r="E13" s="79">
        <v>53.5</v>
      </c>
      <c r="F13" s="79">
        <v>55</v>
      </c>
      <c r="G13" s="79">
        <v>44.3</v>
      </c>
      <c r="H13" s="79">
        <v>88.800000000000011</v>
      </c>
      <c r="I13" s="79">
        <v>81.59999999999998</v>
      </c>
      <c r="J13" s="79">
        <v>153.69999999999999</v>
      </c>
      <c r="K13" s="79">
        <v>74.399999999999991</v>
      </c>
      <c r="L13" s="79">
        <v>87.5</v>
      </c>
      <c r="M13" s="79">
        <v>57.300000000000004</v>
      </c>
      <c r="N13" s="79">
        <v>135.5</v>
      </c>
      <c r="O13" s="79">
        <v>57.800000000000011</v>
      </c>
      <c r="P13" s="79">
        <v>40.20000000000001</v>
      </c>
      <c r="Q13" s="79">
        <v>59.199999999999996</v>
      </c>
      <c r="R13" s="79">
        <v>104.60000000000002</v>
      </c>
      <c r="S13" s="79">
        <v>124.10000000000001</v>
      </c>
      <c r="T13" s="79">
        <v>83.09999999999998</v>
      </c>
      <c r="U13" s="79">
        <v>85.6</v>
      </c>
      <c r="V13" s="79">
        <f>'Purchased Power Model '!C68</f>
        <v>44.29999999999999</v>
      </c>
      <c r="W13" s="79">
        <f>'Purchased Power Model '!C80</f>
        <v>86.73684210526315</v>
      </c>
      <c r="X13" s="79">
        <f>'Purchased Power Model '!C92</f>
        <v>100.30000000000001</v>
      </c>
      <c r="Y13" s="79">
        <f>'Purchased Power Model '!C104</f>
        <v>85.9</v>
      </c>
      <c r="Z13" s="79">
        <f>'Purchased Power Model '!C116</f>
        <v>122.89999999999998</v>
      </c>
      <c r="AA13" s="80">
        <f t="shared" si="1"/>
        <v>92.712975860704319</v>
      </c>
      <c r="AC13" s="16"/>
      <c r="AD13" s="81"/>
    </row>
    <row r="14" spans="1:30" x14ac:dyDescent="0.25">
      <c r="A14" s="78" t="s">
        <v>107</v>
      </c>
      <c r="B14" s="79">
        <v>104.2</v>
      </c>
      <c r="C14" s="79">
        <v>18</v>
      </c>
      <c r="D14" s="79">
        <v>40.1</v>
      </c>
      <c r="E14" s="79">
        <v>24.900000000000006</v>
      </c>
      <c r="F14" s="79">
        <v>32.500000000000007</v>
      </c>
      <c r="G14" s="79">
        <v>30.8</v>
      </c>
      <c r="H14" s="79">
        <v>23.6</v>
      </c>
      <c r="I14" s="79">
        <v>12.5</v>
      </c>
      <c r="J14" s="79">
        <v>51.9</v>
      </c>
      <c r="K14" s="79">
        <v>31.699999999999996</v>
      </c>
      <c r="L14" s="79">
        <v>3.3000000000000003</v>
      </c>
      <c r="M14" s="79">
        <v>17.099999999999998</v>
      </c>
      <c r="N14" s="79">
        <v>40.999999999999993</v>
      </c>
      <c r="O14" s="79">
        <v>34.300000000000004</v>
      </c>
      <c r="P14" s="79">
        <v>29.800000000000004</v>
      </c>
      <c r="Q14" s="79">
        <v>28</v>
      </c>
      <c r="R14" s="79">
        <v>40.899999999999991</v>
      </c>
      <c r="S14" s="79">
        <v>72.3</v>
      </c>
      <c r="T14" s="79">
        <v>3.5</v>
      </c>
      <c r="U14" s="79">
        <v>12</v>
      </c>
      <c r="V14" s="79">
        <f>'Purchased Power Model '!C69</f>
        <v>1.9000000000000001</v>
      </c>
      <c r="W14" s="79">
        <f>'Purchased Power Model '!C81</f>
        <v>46.736842105263165</v>
      </c>
      <c r="X14" s="79">
        <f>'Purchased Power Model '!C93</f>
        <v>78.3</v>
      </c>
      <c r="Y14" s="79">
        <f>'Purchased Power Model '!C105</f>
        <v>30.5</v>
      </c>
      <c r="Z14" s="79">
        <f>'Purchased Power Model '!C117</f>
        <v>43.5</v>
      </c>
      <c r="AA14" s="80">
        <f t="shared" si="1"/>
        <v>41.264705184012655</v>
      </c>
      <c r="AC14" s="16"/>
      <c r="AD14" s="81"/>
    </row>
    <row r="15" spans="1:30" x14ac:dyDescent="0.25">
      <c r="A15" s="78" t="s">
        <v>108</v>
      </c>
      <c r="B15" s="79">
        <v>92.7</v>
      </c>
      <c r="C15" s="79">
        <v>30.099999999999998</v>
      </c>
      <c r="D15" s="79">
        <v>92.699999999999989</v>
      </c>
      <c r="E15" s="79">
        <v>26</v>
      </c>
      <c r="F15" s="79">
        <v>24.6</v>
      </c>
      <c r="G15" s="79">
        <v>55.899999999999991</v>
      </c>
      <c r="H15" s="79">
        <v>15.700000000000003</v>
      </c>
      <c r="I15" s="79">
        <v>54.500000000000007</v>
      </c>
      <c r="J15" s="79">
        <v>52.7</v>
      </c>
      <c r="K15" s="79">
        <v>23.5</v>
      </c>
      <c r="L15" s="79">
        <v>30.700000000000006</v>
      </c>
      <c r="M15" s="79">
        <v>30.099999999999998</v>
      </c>
      <c r="N15" s="79">
        <v>124.30000000000003</v>
      </c>
      <c r="O15" s="79">
        <v>59.099999999999994</v>
      </c>
      <c r="P15" s="79">
        <v>22.3</v>
      </c>
      <c r="Q15" s="79">
        <v>62.800000000000004</v>
      </c>
      <c r="R15" s="79">
        <v>24.800000000000004</v>
      </c>
      <c r="S15" s="79">
        <v>68.900000000000006</v>
      </c>
      <c r="T15" s="79">
        <v>41.499999999999993</v>
      </c>
      <c r="U15" s="79">
        <v>12.2</v>
      </c>
      <c r="V15" s="79">
        <f>'Purchased Power Model '!C70</f>
        <v>28.599999999999998</v>
      </c>
      <c r="W15" s="79">
        <f>'Purchased Power Model '!C82</f>
        <v>70.736842105263165</v>
      </c>
      <c r="X15" s="79">
        <f>'Purchased Power Model '!C94</f>
        <v>66.5</v>
      </c>
      <c r="Y15" s="79">
        <f>'Purchased Power Model '!C106</f>
        <v>75.09999999999998</v>
      </c>
      <c r="Z15" s="79">
        <f>'Purchased Power Model '!C118</f>
        <v>44.199999999999989</v>
      </c>
      <c r="AA15" s="80">
        <f t="shared" si="1"/>
        <v>55.400645033636692</v>
      </c>
      <c r="AC15" s="16"/>
      <c r="AD15" s="81"/>
    </row>
    <row r="16" spans="1:30" x14ac:dyDescent="0.25">
      <c r="A16" s="78" t="s">
        <v>109</v>
      </c>
      <c r="B16" s="79">
        <v>230</v>
      </c>
      <c r="C16" s="79">
        <v>171.40000000000003</v>
      </c>
      <c r="D16" s="79">
        <v>153.4</v>
      </c>
      <c r="E16" s="79">
        <v>219.00000000000003</v>
      </c>
      <c r="F16" s="79">
        <v>179.3</v>
      </c>
      <c r="G16" s="79">
        <v>156</v>
      </c>
      <c r="H16" s="79">
        <v>146.29999999999998</v>
      </c>
      <c r="I16" s="79">
        <v>211.7</v>
      </c>
      <c r="J16" s="79">
        <v>212.99999999999997</v>
      </c>
      <c r="K16" s="79">
        <v>184.99999999999994</v>
      </c>
      <c r="L16" s="79">
        <v>134.4</v>
      </c>
      <c r="M16" s="79">
        <v>173.79999999999998</v>
      </c>
      <c r="N16" s="79">
        <v>121.3</v>
      </c>
      <c r="O16" s="79">
        <v>153</v>
      </c>
      <c r="P16" s="79">
        <v>187.1</v>
      </c>
      <c r="Q16" s="79">
        <v>172.49999999999997</v>
      </c>
      <c r="R16" s="79">
        <v>175.80000000000004</v>
      </c>
      <c r="S16" s="79">
        <v>63</v>
      </c>
      <c r="T16" s="79">
        <v>234.2</v>
      </c>
      <c r="U16" s="79">
        <v>166.6</v>
      </c>
      <c r="V16" s="79">
        <f>'Purchased Power Model '!C71</f>
        <v>189.80000000000004</v>
      </c>
      <c r="W16" s="79">
        <f>'Purchased Power Model '!C83</f>
        <v>140.63157894736841</v>
      </c>
      <c r="X16" s="79">
        <f>'Purchased Power Model '!C95</f>
        <v>208.79999999999998</v>
      </c>
      <c r="Y16" s="79">
        <f>'Purchased Power Model '!C107</f>
        <v>126.2</v>
      </c>
      <c r="Z16" s="79">
        <f>'Purchased Power Model '!C119</f>
        <v>145.4</v>
      </c>
      <c r="AA16" s="80">
        <f t="shared" si="1"/>
        <v>156.58264740799359</v>
      </c>
      <c r="AC16" s="16"/>
      <c r="AD16" s="81"/>
    </row>
    <row r="17" spans="1:32" x14ac:dyDescent="0.25">
      <c r="A17" s="78" t="s">
        <v>110</v>
      </c>
      <c r="B17" s="79">
        <v>457.79999999999995</v>
      </c>
      <c r="C17" s="79">
        <v>381.90000000000003</v>
      </c>
      <c r="D17" s="79">
        <v>343.29999999999995</v>
      </c>
      <c r="E17" s="79">
        <v>456.8</v>
      </c>
      <c r="F17" s="79">
        <v>398.2999999999999</v>
      </c>
      <c r="G17" s="79">
        <v>416</v>
      </c>
      <c r="H17" s="79">
        <v>382</v>
      </c>
      <c r="I17" s="79">
        <v>455.60000000000008</v>
      </c>
      <c r="J17" s="79">
        <v>358.49999999999994</v>
      </c>
      <c r="K17" s="79">
        <v>434.9</v>
      </c>
      <c r="L17" s="79">
        <v>560.1</v>
      </c>
      <c r="M17" s="79">
        <v>426.1</v>
      </c>
      <c r="N17" s="79">
        <v>386.5</v>
      </c>
      <c r="O17" s="79">
        <v>374.10000000000008</v>
      </c>
      <c r="P17" s="79">
        <v>472.69999999999993</v>
      </c>
      <c r="Q17" s="79">
        <v>361.39999999999992</v>
      </c>
      <c r="R17" s="79">
        <v>384</v>
      </c>
      <c r="S17" s="79">
        <v>464.99999999999994</v>
      </c>
      <c r="T17" s="79">
        <v>337.09999999999997</v>
      </c>
      <c r="U17" s="79">
        <v>311.2</v>
      </c>
      <c r="V17" s="79">
        <f>'Purchased Power Model '!C72</f>
        <v>444.1</v>
      </c>
      <c r="W17" s="79">
        <f>'Purchased Power Model '!C84</f>
        <v>364.63157894736844</v>
      </c>
      <c r="X17" s="79">
        <f>'Purchased Power Model '!C96</f>
        <v>399.9</v>
      </c>
      <c r="Y17" s="79">
        <f>'Purchased Power Model '!C108</f>
        <v>404.09999999999997</v>
      </c>
      <c r="Z17" s="79">
        <f>'Purchased Power Model '!C120</f>
        <v>367.90000000000003</v>
      </c>
      <c r="AA17" s="80">
        <f t="shared" si="1"/>
        <v>372.91009101701638</v>
      </c>
      <c r="AC17" s="16"/>
      <c r="AD17" s="81"/>
    </row>
    <row r="18" spans="1:32" x14ac:dyDescent="0.25">
      <c r="A18" s="78" t="s">
        <v>111</v>
      </c>
      <c r="B18" s="79">
        <v>710.39999999999986</v>
      </c>
      <c r="C18" s="79">
        <v>620.49999999999989</v>
      </c>
      <c r="D18" s="79">
        <v>594.1</v>
      </c>
      <c r="E18" s="79">
        <v>896.89999999999986</v>
      </c>
      <c r="F18" s="79">
        <v>756.49999999999977</v>
      </c>
      <c r="G18" s="79">
        <v>755.4</v>
      </c>
      <c r="H18" s="79">
        <v>646.29999999999995</v>
      </c>
      <c r="I18" s="79">
        <v>571.4</v>
      </c>
      <c r="J18" s="79">
        <v>628.90000000000009</v>
      </c>
      <c r="K18" s="79">
        <v>527.5</v>
      </c>
      <c r="L18" s="79">
        <v>753</v>
      </c>
      <c r="M18" s="79">
        <v>712.60000000000014</v>
      </c>
      <c r="N18" s="79">
        <v>585.59999999999991</v>
      </c>
      <c r="O18" s="79">
        <v>681</v>
      </c>
      <c r="P18" s="79">
        <v>636.89999999999986</v>
      </c>
      <c r="Q18" s="79">
        <v>696.4</v>
      </c>
      <c r="R18" s="79">
        <v>674.5999999999998</v>
      </c>
      <c r="S18" s="79">
        <v>498.4</v>
      </c>
      <c r="T18" s="79">
        <v>613.70000000000016</v>
      </c>
      <c r="U18" s="79">
        <v>594.5</v>
      </c>
      <c r="V18" s="79">
        <f>'Purchased Power Model '!C73</f>
        <v>689.00000000000011</v>
      </c>
      <c r="W18" s="79">
        <f>'Purchased Power Model '!C85</f>
        <v>723.1</v>
      </c>
      <c r="X18" s="79">
        <f>'Purchased Power Model '!C97</f>
        <v>823.8</v>
      </c>
      <c r="Y18" s="79">
        <f>'Purchased Power Model '!C109</f>
        <v>557.5</v>
      </c>
      <c r="Z18" s="79">
        <f>'Purchased Power Model '!C121</f>
        <v>467.19999999999987</v>
      </c>
      <c r="AA18" s="80">
        <f t="shared" si="1"/>
        <v>618.38345864661642</v>
      </c>
      <c r="AC18" s="16"/>
      <c r="AD18" s="81"/>
    </row>
    <row r="19" spans="1:32" x14ac:dyDescent="0.25">
      <c r="A19" s="78" t="s">
        <v>112</v>
      </c>
      <c r="B19" s="79">
        <v>478.7</v>
      </c>
      <c r="C19" s="79">
        <v>953.00000000000023</v>
      </c>
      <c r="D19" s="79">
        <v>842.7</v>
      </c>
      <c r="E19" s="79">
        <v>1066.9000000000001</v>
      </c>
      <c r="F19" s="79">
        <v>1031.1999999999998</v>
      </c>
      <c r="G19" s="79">
        <v>785.40000000000009</v>
      </c>
      <c r="H19" s="79">
        <v>949.79999999999973</v>
      </c>
      <c r="I19" s="79">
        <v>897.19999999999993</v>
      </c>
      <c r="J19" s="79">
        <v>1211.7999999999997</v>
      </c>
      <c r="K19" s="79">
        <v>835.79999999999984</v>
      </c>
      <c r="L19" s="79">
        <v>875.6</v>
      </c>
      <c r="M19" s="79">
        <v>858.4000000000002</v>
      </c>
      <c r="N19" s="79">
        <v>1056.7</v>
      </c>
      <c r="O19" s="79">
        <v>916.70000000000016</v>
      </c>
      <c r="P19" s="79">
        <v>836.40000000000009</v>
      </c>
      <c r="Q19" s="79">
        <v>1033.7</v>
      </c>
      <c r="R19" s="79">
        <v>1168.6000000000001</v>
      </c>
      <c r="S19" s="79">
        <v>1024.5999999999999</v>
      </c>
      <c r="T19" s="79">
        <v>997.9</v>
      </c>
      <c r="U19" s="79">
        <v>880.4</v>
      </c>
      <c r="V19" s="79">
        <f>'Purchased Power Model '!C74</f>
        <v>678.2</v>
      </c>
      <c r="W19" s="79">
        <f>'Purchased Power Model '!C86</f>
        <v>1177.5</v>
      </c>
      <c r="X19" s="79">
        <f>'Purchased Power Model '!C98</f>
        <v>891.90000000000009</v>
      </c>
      <c r="Y19" s="79">
        <f>'Purchased Power Model '!C110</f>
        <v>803.19999999999993</v>
      </c>
      <c r="Z19" s="79">
        <f>'Purchased Power Model '!C122</f>
        <v>988.5</v>
      </c>
      <c r="AA19" s="80">
        <f t="shared" si="1"/>
        <v>951.3690225563912</v>
      </c>
      <c r="AC19" s="16"/>
      <c r="AD19" s="81"/>
    </row>
    <row r="20" spans="1:32" x14ac:dyDescent="0.25">
      <c r="A20" s="78"/>
      <c r="B20" s="78"/>
      <c r="C20" s="78"/>
      <c r="D20" s="78"/>
      <c r="E20" s="78"/>
    </row>
    <row r="21" spans="1:32" x14ac:dyDescent="0.25">
      <c r="A21" s="78" t="s">
        <v>10</v>
      </c>
      <c r="B21" s="79">
        <f>SUM(B8:B19)</f>
        <v>5712.9999999999991</v>
      </c>
      <c r="C21" s="79">
        <f t="shared" ref="C21:Z21" si="2">SUM(C8:C19)</f>
        <v>4099.4000000000005</v>
      </c>
      <c r="D21" s="79">
        <f t="shared" si="2"/>
        <v>5946.5</v>
      </c>
      <c r="E21" s="79">
        <f t="shared" si="2"/>
        <v>6299.7999999999993</v>
      </c>
      <c r="F21" s="79">
        <f t="shared" si="2"/>
        <v>6504.6000000000013</v>
      </c>
      <c r="G21" s="79">
        <f t="shared" si="2"/>
        <v>5948.1</v>
      </c>
      <c r="H21" s="79">
        <f t="shared" si="2"/>
        <v>5147.2999999999993</v>
      </c>
      <c r="I21" s="79">
        <f t="shared" si="2"/>
        <v>5426.9</v>
      </c>
      <c r="J21" s="79">
        <f t="shared" si="2"/>
        <v>5916.5999999999985</v>
      </c>
      <c r="K21" s="79">
        <f t="shared" si="2"/>
        <v>5404.2</v>
      </c>
      <c r="L21" s="79">
        <f t="shared" si="2"/>
        <v>6110.4000000000005</v>
      </c>
      <c r="M21" s="79">
        <f t="shared" si="2"/>
        <v>5902.6000000000013</v>
      </c>
      <c r="N21" s="79">
        <f t="shared" si="2"/>
        <v>6126.7</v>
      </c>
      <c r="O21" s="79">
        <f t="shared" si="2"/>
        <v>5710.1</v>
      </c>
      <c r="P21" s="79">
        <f t="shared" si="2"/>
        <v>5322.7999999999993</v>
      </c>
      <c r="Q21" s="79">
        <f t="shared" si="2"/>
        <v>5869.5999999999985</v>
      </c>
      <c r="R21" s="79">
        <f t="shared" si="2"/>
        <v>6330.4</v>
      </c>
      <c r="S21" s="79">
        <f t="shared" si="2"/>
        <v>5975.4</v>
      </c>
      <c r="T21" s="79">
        <f t="shared" si="2"/>
        <v>5241.5999999999995</v>
      </c>
      <c r="U21" s="79">
        <f t="shared" si="2"/>
        <v>5628.1999999999989</v>
      </c>
      <c r="V21" s="79">
        <f t="shared" si="2"/>
        <v>4954.8</v>
      </c>
      <c r="W21" s="79">
        <f t="shared" si="2"/>
        <v>6763.2315789473687</v>
      </c>
      <c r="X21" s="79">
        <f t="shared" si="2"/>
        <v>6674.1</v>
      </c>
      <c r="Y21" s="79">
        <f t="shared" si="2"/>
        <v>5860.8</v>
      </c>
      <c r="Z21" s="79">
        <f t="shared" si="2"/>
        <v>5595</v>
      </c>
    </row>
    <row r="22" spans="1:32" x14ac:dyDescent="0.25">
      <c r="A22" s="72"/>
      <c r="B22" s="72"/>
      <c r="C22" s="72"/>
      <c r="D22" s="72"/>
      <c r="E22" s="72"/>
      <c r="F22" s="73"/>
      <c r="G22" s="73"/>
    </row>
    <row r="23" spans="1:32" x14ac:dyDescent="0.25">
      <c r="A23" s="72" t="s">
        <v>113</v>
      </c>
      <c r="B23" s="72"/>
      <c r="C23" s="72"/>
      <c r="D23" s="72"/>
      <c r="E23" s="72"/>
      <c r="F23" s="73"/>
      <c r="G23" s="73"/>
    </row>
    <row r="24" spans="1:32" x14ac:dyDescent="0.25">
      <c r="A24" s="74"/>
      <c r="B24" s="74"/>
      <c r="C24" s="74"/>
      <c r="D24" s="74"/>
      <c r="E24" s="74"/>
      <c r="F24" s="75"/>
      <c r="G24" s="75"/>
    </row>
    <row r="25" spans="1:32" x14ac:dyDescent="0.25">
      <c r="A25" s="76" t="s">
        <v>100</v>
      </c>
      <c r="B25" s="76">
        <v>1992</v>
      </c>
      <c r="C25" s="76">
        <v>1993</v>
      </c>
      <c r="D25" s="76">
        <v>1994</v>
      </c>
      <c r="E25" s="76">
        <v>1995</v>
      </c>
      <c r="F25" s="76">
        <v>1996</v>
      </c>
      <c r="G25" s="76">
        <v>1997</v>
      </c>
      <c r="H25" s="76">
        <v>1998</v>
      </c>
      <c r="I25" s="76">
        <v>1999</v>
      </c>
      <c r="J25" s="76">
        <v>2000</v>
      </c>
      <c r="K25" s="76">
        <v>2001</v>
      </c>
      <c r="L25" s="76">
        <v>2002</v>
      </c>
      <c r="M25" s="76">
        <v>2003</v>
      </c>
      <c r="N25" s="76">
        <v>2004</v>
      </c>
      <c r="O25" s="76">
        <v>2005</v>
      </c>
      <c r="P25" s="76">
        <v>2006</v>
      </c>
      <c r="Q25" s="76">
        <v>2007</v>
      </c>
      <c r="R25" s="76">
        <v>2008</v>
      </c>
      <c r="S25" s="76">
        <v>2009</v>
      </c>
      <c r="T25" s="76">
        <v>2010</v>
      </c>
      <c r="U25" s="76">
        <v>2011</v>
      </c>
      <c r="V25" s="165"/>
      <c r="W25" s="165"/>
      <c r="X25" s="165"/>
      <c r="Y25" s="165"/>
      <c r="Z25" s="165"/>
      <c r="AA25" s="77" t="s">
        <v>101</v>
      </c>
    </row>
    <row r="26" spans="1:32" x14ac:dyDescent="0.25">
      <c r="A26" s="74"/>
      <c r="B26" s="74"/>
      <c r="C26" s="74"/>
      <c r="D26" s="74"/>
      <c r="E26" s="74"/>
      <c r="F26" s="73"/>
      <c r="G26" s="73"/>
      <c r="AA26" s="82"/>
    </row>
    <row r="27" spans="1:32" x14ac:dyDescent="0.25">
      <c r="F27" s="73"/>
      <c r="G27" s="73"/>
      <c r="AA27" s="82"/>
    </row>
    <row r="28" spans="1:32" x14ac:dyDescent="0.25">
      <c r="A28" s="78" t="s">
        <v>102</v>
      </c>
      <c r="B28" s="79">
        <v>0</v>
      </c>
      <c r="C28" s="79">
        <v>0</v>
      </c>
      <c r="D28" s="79">
        <v>0</v>
      </c>
      <c r="E28" s="79">
        <v>0</v>
      </c>
      <c r="F28" s="79">
        <v>0</v>
      </c>
      <c r="G28" s="79">
        <v>0</v>
      </c>
      <c r="H28" s="79">
        <v>0</v>
      </c>
      <c r="I28" s="79">
        <v>0</v>
      </c>
      <c r="J28" s="79">
        <v>0</v>
      </c>
      <c r="K28" s="79">
        <v>0</v>
      </c>
      <c r="L28" s="79">
        <v>0</v>
      </c>
      <c r="M28" s="79">
        <v>0</v>
      </c>
      <c r="N28" s="79">
        <v>0</v>
      </c>
      <c r="O28" s="79">
        <v>0</v>
      </c>
      <c r="P28" s="79">
        <v>0</v>
      </c>
      <c r="Q28" s="79">
        <v>0</v>
      </c>
      <c r="R28" s="79">
        <v>0</v>
      </c>
      <c r="S28" s="79">
        <v>0</v>
      </c>
      <c r="T28" s="79">
        <v>0</v>
      </c>
      <c r="U28" s="79">
        <v>0</v>
      </c>
      <c r="V28" s="79"/>
      <c r="W28" s="79"/>
      <c r="X28" s="79"/>
      <c r="Y28" s="79"/>
      <c r="Z28" s="79"/>
      <c r="AA28" s="80">
        <f>TREND(B28:U28,$B$25:$U$25,2013)</f>
        <v>0</v>
      </c>
      <c r="AC28" s="16"/>
      <c r="AD28" s="81"/>
      <c r="AE28" s="79"/>
      <c r="AF28" s="79"/>
    </row>
    <row r="29" spans="1:32" x14ac:dyDescent="0.25">
      <c r="A29" s="78" t="s">
        <v>103</v>
      </c>
      <c r="B29" s="79">
        <v>0</v>
      </c>
      <c r="C29" s="79">
        <v>0</v>
      </c>
      <c r="D29" s="79">
        <v>0</v>
      </c>
      <c r="E29" s="79">
        <v>0</v>
      </c>
      <c r="F29" s="79">
        <v>0</v>
      </c>
      <c r="G29" s="79">
        <v>0</v>
      </c>
      <c r="H29" s="79">
        <v>0</v>
      </c>
      <c r="I29" s="79">
        <v>0</v>
      </c>
      <c r="J29" s="79">
        <v>0</v>
      </c>
      <c r="K29" s="79">
        <v>0</v>
      </c>
      <c r="L29" s="79">
        <v>0</v>
      </c>
      <c r="M29" s="79">
        <v>0</v>
      </c>
      <c r="N29" s="79">
        <v>0</v>
      </c>
      <c r="O29" s="79">
        <v>0</v>
      </c>
      <c r="P29" s="79">
        <v>0</v>
      </c>
      <c r="Q29" s="79">
        <v>0</v>
      </c>
      <c r="R29" s="79">
        <v>0</v>
      </c>
      <c r="S29" s="79">
        <v>0</v>
      </c>
      <c r="T29" s="79">
        <v>0</v>
      </c>
      <c r="U29" s="79">
        <v>0</v>
      </c>
      <c r="V29" s="79"/>
      <c r="W29" s="79"/>
      <c r="X29" s="79"/>
      <c r="Y29" s="79"/>
      <c r="Z29" s="79"/>
      <c r="AA29" s="80">
        <f t="shared" ref="AA29:AA39" si="3">TREND(B29:U29,$B$25:$U$25,2013)</f>
        <v>0</v>
      </c>
      <c r="AC29" s="16"/>
      <c r="AD29" s="81"/>
      <c r="AE29" s="79"/>
      <c r="AF29" s="79"/>
    </row>
    <row r="30" spans="1:32" x14ac:dyDescent="0.25">
      <c r="A30" s="78" t="s">
        <v>104</v>
      </c>
      <c r="B30" s="79">
        <v>0</v>
      </c>
      <c r="C30" s="79">
        <v>0</v>
      </c>
      <c r="D30" s="79">
        <v>0</v>
      </c>
      <c r="E30" s="79">
        <v>0</v>
      </c>
      <c r="F30" s="79">
        <v>0</v>
      </c>
      <c r="G30" s="79">
        <v>0</v>
      </c>
      <c r="H30" s="79">
        <v>0</v>
      </c>
      <c r="I30" s="79">
        <v>0</v>
      </c>
      <c r="J30" s="79">
        <v>0</v>
      </c>
      <c r="K30" s="79">
        <v>0</v>
      </c>
      <c r="L30" s="79">
        <v>0</v>
      </c>
      <c r="M30" s="79">
        <v>0</v>
      </c>
      <c r="N30" s="79">
        <v>0</v>
      </c>
      <c r="O30" s="79">
        <v>0</v>
      </c>
      <c r="P30" s="79">
        <v>0</v>
      </c>
      <c r="Q30" s="79">
        <v>0</v>
      </c>
      <c r="R30" s="79">
        <v>0</v>
      </c>
      <c r="S30" s="79">
        <v>0</v>
      </c>
      <c r="T30" s="79">
        <v>0</v>
      </c>
      <c r="U30" s="79">
        <v>0</v>
      </c>
      <c r="V30" s="79"/>
      <c r="W30" s="79"/>
      <c r="X30" s="79"/>
      <c r="Y30" s="79"/>
      <c r="Z30" s="79"/>
      <c r="AA30" s="80">
        <f t="shared" si="3"/>
        <v>0</v>
      </c>
      <c r="AC30" s="16"/>
      <c r="AD30" s="81"/>
      <c r="AE30" s="79"/>
      <c r="AF30" s="79"/>
    </row>
    <row r="31" spans="1:32" x14ac:dyDescent="0.25">
      <c r="A31" s="78" t="s">
        <v>105</v>
      </c>
      <c r="B31" s="79">
        <v>0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0</v>
      </c>
      <c r="I31" s="79">
        <v>0</v>
      </c>
      <c r="J31" s="79">
        <v>0</v>
      </c>
      <c r="K31" s="79">
        <v>0</v>
      </c>
      <c r="L31" s="79">
        <v>0</v>
      </c>
      <c r="M31" s="79">
        <v>0</v>
      </c>
      <c r="N31" s="79">
        <v>0</v>
      </c>
      <c r="O31" s="79">
        <v>0</v>
      </c>
      <c r="P31" s="79">
        <v>0</v>
      </c>
      <c r="Q31" s="79">
        <v>0</v>
      </c>
      <c r="R31" s="79">
        <v>0</v>
      </c>
      <c r="S31" s="79">
        <v>0</v>
      </c>
      <c r="T31" s="79">
        <v>0</v>
      </c>
      <c r="U31" s="79">
        <v>0</v>
      </c>
      <c r="V31" s="79"/>
      <c r="W31" s="79"/>
      <c r="X31" s="79"/>
      <c r="Y31" s="79"/>
      <c r="Z31" s="79"/>
      <c r="AA31" s="80">
        <f t="shared" si="3"/>
        <v>0</v>
      </c>
      <c r="AC31" s="16"/>
      <c r="AD31" s="81"/>
      <c r="AE31" s="79"/>
      <c r="AF31" s="79"/>
    </row>
    <row r="32" spans="1:32" x14ac:dyDescent="0.25">
      <c r="A32" s="78" t="s">
        <v>83</v>
      </c>
      <c r="B32" s="79">
        <v>16.2</v>
      </c>
      <c r="C32" s="79">
        <v>0.8</v>
      </c>
      <c r="D32" s="79">
        <v>5.0999999999999996</v>
      </c>
      <c r="E32" s="79">
        <v>8.8000000000000007</v>
      </c>
      <c r="F32" s="79">
        <v>1.4</v>
      </c>
      <c r="G32" s="79">
        <v>0.2</v>
      </c>
      <c r="H32" s="79">
        <v>3.2</v>
      </c>
      <c r="I32" s="79">
        <v>6.3000000000000007</v>
      </c>
      <c r="J32" s="79">
        <v>2.1</v>
      </c>
      <c r="K32" s="79">
        <v>0</v>
      </c>
      <c r="L32" s="79">
        <v>2.8</v>
      </c>
      <c r="M32" s="79">
        <v>0.1</v>
      </c>
      <c r="N32" s="79">
        <v>0</v>
      </c>
      <c r="O32" s="79">
        <v>0</v>
      </c>
      <c r="P32" s="79">
        <v>15</v>
      </c>
      <c r="Q32" s="79">
        <v>3.9</v>
      </c>
      <c r="R32" s="79">
        <v>0</v>
      </c>
      <c r="S32" s="79">
        <v>0</v>
      </c>
      <c r="T32" s="79">
        <v>12.9</v>
      </c>
      <c r="U32" s="79">
        <v>3.1</v>
      </c>
      <c r="V32" s="79"/>
      <c r="W32" s="79"/>
      <c r="X32" s="79"/>
      <c r="Y32" s="79"/>
      <c r="Z32" s="79"/>
      <c r="AA32" s="80">
        <f t="shared" si="3"/>
        <v>2.9666165413533747</v>
      </c>
      <c r="AC32" s="16"/>
      <c r="AD32" s="81"/>
      <c r="AE32" s="79"/>
      <c r="AF32" s="79"/>
    </row>
    <row r="33" spans="1:32" x14ac:dyDescent="0.25">
      <c r="A33" s="78" t="s">
        <v>106</v>
      </c>
      <c r="B33" s="79">
        <v>7.1000000000000005</v>
      </c>
      <c r="C33" s="79">
        <v>4.2</v>
      </c>
      <c r="D33" s="79">
        <v>35.5</v>
      </c>
      <c r="E33" s="79">
        <v>110.2</v>
      </c>
      <c r="F33" s="79">
        <v>50.5</v>
      </c>
      <c r="G33" s="79">
        <v>38.700000000000003</v>
      </c>
      <c r="H33" s="79">
        <v>34.199999999999996</v>
      </c>
      <c r="I33" s="79">
        <v>23</v>
      </c>
      <c r="J33" s="79">
        <v>1.1000000000000001</v>
      </c>
      <c r="K33" s="79">
        <v>30.5</v>
      </c>
      <c r="L33" s="79">
        <v>39.4</v>
      </c>
      <c r="M33" s="79">
        <v>39.1</v>
      </c>
      <c r="N33" s="79">
        <v>2.2000000000000002</v>
      </c>
      <c r="O33" s="79">
        <v>41.3</v>
      </c>
      <c r="P33" s="79">
        <v>29.800000000000004</v>
      </c>
      <c r="Q33" s="79">
        <v>39</v>
      </c>
      <c r="R33" s="79">
        <v>5.4</v>
      </c>
      <c r="S33" s="79">
        <v>31.599999999999994</v>
      </c>
      <c r="T33" s="79">
        <v>6.8000000000000007</v>
      </c>
      <c r="U33" s="79">
        <v>24.9</v>
      </c>
      <c r="V33" s="79"/>
      <c r="W33" s="79"/>
      <c r="X33" s="79"/>
      <c r="Y33" s="79"/>
      <c r="Z33" s="79"/>
      <c r="AA33" s="80">
        <f t="shared" si="3"/>
        <v>19.552255639097439</v>
      </c>
      <c r="AC33" s="16"/>
      <c r="AD33" s="81"/>
      <c r="AE33" s="79"/>
      <c r="AF33" s="79"/>
    </row>
    <row r="34" spans="1:32" x14ac:dyDescent="0.25">
      <c r="A34" s="78" t="s">
        <v>107</v>
      </c>
      <c r="B34" s="79">
        <v>2.2999999999999998</v>
      </c>
      <c r="C34" s="79">
        <v>17.600000000000001</v>
      </c>
      <c r="D34" s="79">
        <v>25.900000000000002</v>
      </c>
      <c r="E34" s="79">
        <v>42.300000000000004</v>
      </c>
      <c r="F34" s="79">
        <v>28.4</v>
      </c>
      <c r="G34" s="79">
        <v>71.900000000000006</v>
      </c>
      <c r="H34" s="79">
        <v>49.399999999999991</v>
      </c>
      <c r="I34" s="79">
        <v>73.799999999999983</v>
      </c>
      <c r="J34" s="79">
        <v>50.199999999999996</v>
      </c>
      <c r="K34" s="79">
        <v>59.8</v>
      </c>
      <c r="L34" s="79">
        <v>111.89999999999998</v>
      </c>
      <c r="M34" s="79">
        <v>50.199999999999996</v>
      </c>
      <c r="N34" s="79">
        <v>44.300000000000004</v>
      </c>
      <c r="O34" s="79">
        <v>86.600000000000009</v>
      </c>
      <c r="P34" s="79">
        <v>94.9</v>
      </c>
      <c r="Q34" s="79">
        <v>85.600000000000009</v>
      </c>
      <c r="R34" s="79">
        <v>23.2</v>
      </c>
      <c r="S34" s="79">
        <v>1.6</v>
      </c>
      <c r="T34" s="79">
        <v>59.300000000000004</v>
      </c>
      <c r="U34" s="79">
        <v>91.3</v>
      </c>
      <c r="V34" s="79"/>
      <c r="W34" s="79"/>
      <c r="X34" s="79"/>
      <c r="Y34" s="79"/>
      <c r="Z34" s="79"/>
      <c r="AA34" s="80">
        <f t="shared" si="3"/>
        <v>77.634360902255139</v>
      </c>
      <c r="AC34" s="16"/>
      <c r="AD34" s="81"/>
      <c r="AE34" s="79"/>
      <c r="AF34" s="79"/>
    </row>
    <row r="35" spans="1:32" x14ac:dyDescent="0.25">
      <c r="A35" s="78" t="s">
        <v>108</v>
      </c>
      <c r="B35" s="79">
        <v>11.4</v>
      </c>
      <c r="C35" s="79">
        <v>31.900000000000002</v>
      </c>
      <c r="D35" s="79">
        <v>9.7999999999999989</v>
      </c>
      <c r="E35" s="79">
        <v>66.8</v>
      </c>
      <c r="F35" s="79">
        <v>49.499999999999993</v>
      </c>
      <c r="G35" s="79">
        <v>28.5</v>
      </c>
      <c r="H35" s="79">
        <v>56.8</v>
      </c>
      <c r="I35" s="79">
        <v>34.1</v>
      </c>
      <c r="J35" s="79">
        <v>24.200000000000003</v>
      </c>
      <c r="K35" s="79">
        <v>76.5</v>
      </c>
      <c r="L35" s="79">
        <v>32.700000000000003</v>
      </c>
      <c r="M35" s="79">
        <v>85.4</v>
      </c>
      <c r="N35" s="79">
        <v>5.3000000000000007</v>
      </c>
      <c r="O35" s="79">
        <v>42.199999999999996</v>
      </c>
      <c r="P35" s="79">
        <v>35.800000000000004</v>
      </c>
      <c r="Q35" s="79">
        <v>31.199999999999996</v>
      </c>
      <c r="R35" s="79">
        <v>49.1</v>
      </c>
      <c r="S35" s="79">
        <v>21.1</v>
      </c>
      <c r="T35" s="79">
        <v>73.5</v>
      </c>
      <c r="U35" s="79">
        <v>51.1</v>
      </c>
      <c r="V35" s="79"/>
      <c r="W35" s="79"/>
      <c r="X35" s="79"/>
      <c r="Y35" s="79"/>
      <c r="Z35" s="79"/>
      <c r="AA35" s="80">
        <f t="shared" si="3"/>
        <v>50.865563909774437</v>
      </c>
      <c r="AC35" s="16"/>
      <c r="AD35" s="81"/>
      <c r="AE35" s="79"/>
      <c r="AF35" s="79"/>
    </row>
    <row r="36" spans="1:32" x14ac:dyDescent="0.25">
      <c r="A36" s="78" t="s">
        <v>109</v>
      </c>
      <c r="B36" s="79">
        <v>0</v>
      </c>
      <c r="C36" s="79">
        <v>0</v>
      </c>
      <c r="D36" s="79">
        <v>1.9</v>
      </c>
      <c r="E36" s="79">
        <v>6.5</v>
      </c>
      <c r="F36" s="79">
        <v>13.7</v>
      </c>
      <c r="G36" s="79">
        <v>2.8</v>
      </c>
      <c r="H36" s="79">
        <v>7.6000000000000005</v>
      </c>
      <c r="I36" s="79">
        <v>0.3</v>
      </c>
      <c r="J36" s="79">
        <v>0</v>
      </c>
      <c r="K36" s="79">
        <v>11.5</v>
      </c>
      <c r="L36" s="79">
        <v>24.3</v>
      </c>
      <c r="M36" s="79">
        <v>14.4</v>
      </c>
      <c r="N36" s="79">
        <v>12.6</v>
      </c>
      <c r="O36" s="79">
        <v>18.7</v>
      </c>
      <c r="P36" s="79">
        <v>8.1000000000000014</v>
      </c>
      <c r="Q36" s="79">
        <v>3.6</v>
      </c>
      <c r="R36" s="79">
        <v>7.8</v>
      </c>
      <c r="S36" s="79">
        <v>26.800000000000004</v>
      </c>
      <c r="T36" s="79">
        <v>0</v>
      </c>
      <c r="U36" s="79">
        <v>17.3</v>
      </c>
      <c r="V36" s="79"/>
      <c r="W36" s="79"/>
      <c r="X36" s="79"/>
      <c r="Y36" s="79"/>
      <c r="Z36" s="79"/>
      <c r="AA36" s="80">
        <f t="shared" si="3"/>
        <v>16.25240601503765</v>
      </c>
      <c r="AC36" s="16"/>
      <c r="AD36" s="81"/>
      <c r="AE36" s="79"/>
      <c r="AF36" s="79"/>
    </row>
    <row r="37" spans="1:32" x14ac:dyDescent="0.25">
      <c r="A37" s="78" t="s">
        <v>110</v>
      </c>
      <c r="B37" s="79">
        <v>0</v>
      </c>
      <c r="C37" s="79">
        <v>0</v>
      </c>
      <c r="D37" s="79">
        <v>0</v>
      </c>
      <c r="E37" s="79">
        <v>0</v>
      </c>
      <c r="F37" s="79">
        <v>0</v>
      </c>
      <c r="G37" s="79">
        <v>0</v>
      </c>
      <c r="H37" s="79">
        <v>0</v>
      </c>
      <c r="I37" s="79">
        <v>0</v>
      </c>
      <c r="J37" s="79">
        <v>0</v>
      </c>
      <c r="K37" s="79">
        <v>0</v>
      </c>
      <c r="L37" s="79">
        <v>0</v>
      </c>
      <c r="M37" s="79">
        <v>1.2</v>
      </c>
      <c r="N37" s="79">
        <v>0</v>
      </c>
      <c r="O37" s="79">
        <v>2.4</v>
      </c>
      <c r="P37" s="79">
        <v>0</v>
      </c>
      <c r="Q37" s="79">
        <v>0</v>
      </c>
      <c r="R37" s="79">
        <v>0</v>
      </c>
      <c r="S37" s="79">
        <v>0</v>
      </c>
      <c r="T37" s="79">
        <v>0</v>
      </c>
      <c r="U37" s="79">
        <v>3</v>
      </c>
      <c r="V37" s="79"/>
      <c r="W37" s="79"/>
      <c r="X37" s="79"/>
      <c r="Y37" s="79"/>
      <c r="Z37" s="79"/>
      <c r="AA37" s="80">
        <f t="shared" si="3"/>
        <v>0.99924812030074861</v>
      </c>
      <c r="AC37" s="16"/>
      <c r="AD37" s="81"/>
      <c r="AE37" s="79"/>
      <c r="AF37" s="79"/>
    </row>
    <row r="38" spans="1:32" x14ac:dyDescent="0.25">
      <c r="A38" s="78" t="s">
        <v>111</v>
      </c>
      <c r="B38" s="79">
        <v>0</v>
      </c>
      <c r="C38" s="79">
        <v>0</v>
      </c>
      <c r="D38" s="79">
        <v>0</v>
      </c>
      <c r="E38" s="79">
        <v>0</v>
      </c>
      <c r="F38" s="79">
        <v>0</v>
      </c>
      <c r="G38" s="79">
        <v>0</v>
      </c>
      <c r="H38" s="79">
        <v>0</v>
      </c>
      <c r="I38" s="79">
        <v>0</v>
      </c>
      <c r="J38" s="79">
        <v>0</v>
      </c>
      <c r="K38" s="79">
        <v>0</v>
      </c>
      <c r="L38" s="79">
        <v>0</v>
      </c>
      <c r="M38" s="79">
        <v>0</v>
      </c>
      <c r="N38" s="79">
        <v>0</v>
      </c>
      <c r="O38" s="79">
        <v>0</v>
      </c>
      <c r="P38" s="79">
        <v>0</v>
      </c>
      <c r="Q38" s="79">
        <v>0</v>
      </c>
      <c r="R38" s="79">
        <v>0</v>
      </c>
      <c r="S38" s="79">
        <v>0</v>
      </c>
      <c r="T38" s="79">
        <v>0</v>
      </c>
      <c r="U38" s="79">
        <v>0</v>
      </c>
      <c r="V38" s="79"/>
      <c r="W38" s="79"/>
      <c r="X38" s="79"/>
      <c r="Y38" s="79"/>
      <c r="Z38" s="79"/>
      <c r="AA38" s="80">
        <f t="shared" si="3"/>
        <v>0</v>
      </c>
      <c r="AC38" s="16"/>
      <c r="AD38" s="81"/>
      <c r="AE38" s="79"/>
      <c r="AF38" s="79"/>
    </row>
    <row r="39" spans="1:32" x14ac:dyDescent="0.25">
      <c r="A39" s="78" t="s">
        <v>112</v>
      </c>
      <c r="B39" s="79">
        <v>0</v>
      </c>
      <c r="C39" s="79">
        <v>0</v>
      </c>
      <c r="D39" s="79">
        <v>0</v>
      </c>
      <c r="E39" s="79">
        <v>0</v>
      </c>
      <c r="F39" s="79">
        <v>0</v>
      </c>
      <c r="G39" s="79">
        <v>0</v>
      </c>
      <c r="H39" s="79">
        <v>0</v>
      </c>
      <c r="I39" s="79">
        <v>0</v>
      </c>
      <c r="J39" s="79">
        <v>0</v>
      </c>
      <c r="K39" s="79">
        <v>0</v>
      </c>
      <c r="L39" s="79">
        <v>0</v>
      </c>
      <c r="M39" s="79">
        <v>0</v>
      </c>
      <c r="N39" s="79">
        <v>0</v>
      </c>
      <c r="O39" s="79">
        <v>0</v>
      </c>
      <c r="P39" s="79">
        <v>0</v>
      </c>
      <c r="Q39" s="79">
        <v>0</v>
      </c>
      <c r="R39" s="79">
        <v>0</v>
      </c>
      <c r="S39" s="79">
        <v>0</v>
      </c>
      <c r="T39" s="79">
        <v>0</v>
      </c>
      <c r="U39" s="79">
        <v>0</v>
      </c>
      <c r="V39" s="79"/>
      <c r="W39" s="79"/>
      <c r="X39" s="79"/>
      <c r="Y39" s="79"/>
      <c r="Z39" s="79"/>
      <c r="AA39" s="80">
        <f t="shared" si="3"/>
        <v>0</v>
      </c>
      <c r="AC39" s="16"/>
      <c r="AD39" s="81"/>
      <c r="AE39" s="79"/>
      <c r="AF39" s="79"/>
    </row>
    <row r="40" spans="1:32" x14ac:dyDescent="0.25">
      <c r="A40" s="78"/>
      <c r="B40" s="78"/>
      <c r="C40" s="78"/>
      <c r="D40" s="78"/>
      <c r="E40" s="78"/>
      <c r="F40" s="73"/>
      <c r="G40" s="73"/>
      <c r="H40" s="73"/>
      <c r="I40" s="73"/>
    </row>
    <row r="41" spans="1:32" x14ac:dyDescent="0.25">
      <c r="A41" s="78" t="s">
        <v>10</v>
      </c>
      <c r="B41" s="79">
        <f>SUM(B28:B39)</f>
        <v>37</v>
      </c>
      <c r="C41" s="79">
        <f t="shared" ref="C41:U41" si="4">SUM(C28:C39)</f>
        <v>54.5</v>
      </c>
      <c r="D41" s="79">
        <f t="shared" si="4"/>
        <v>78.2</v>
      </c>
      <c r="E41" s="79">
        <f t="shared" si="4"/>
        <v>234.60000000000002</v>
      </c>
      <c r="F41" s="79">
        <f t="shared" si="4"/>
        <v>143.49999999999997</v>
      </c>
      <c r="G41" s="79">
        <f t="shared" si="4"/>
        <v>142.10000000000002</v>
      </c>
      <c r="H41" s="79">
        <f t="shared" si="4"/>
        <v>151.19999999999996</v>
      </c>
      <c r="I41" s="79">
        <f t="shared" si="4"/>
        <v>137.5</v>
      </c>
      <c r="J41" s="79">
        <f t="shared" si="4"/>
        <v>77.599999999999994</v>
      </c>
      <c r="K41" s="79">
        <f t="shared" si="4"/>
        <v>178.3</v>
      </c>
      <c r="L41" s="79">
        <f t="shared" si="4"/>
        <v>211.09999999999997</v>
      </c>
      <c r="M41" s="79">
        <f t="shared" si="4"/>
        <v>190.4</v>
      </c>
      <c r="N41" s="79">
        <f t="shared" si="4"/>
        <v>64.400000000000006</v>
      </c>
      <c r="O41" s="79">
        <f t="shared" si="4"/>
        <v>191.2</v>
      </c>
      <c r="P41" s="79">
        <f t="shared" si="4"/>
        <v>183.60000000000002</v>
      </c>
      <c r="Q41" s="79">
        <f t="shared" si="4"/>
        <v>163.29999999999998</v>
      </c>
      <c r="R41" s="79">
        <f t="shared" si="4"/>
        <v>85.5</v>
      </c>
      <c r="S41" s="79">
        <f t="shared" si="4"/>
        <v>81.099999999999994</v>
      </c>
      <c r="T41" s="79">
        <f t="shared" si="4"/>
        <v>152.5</v>
      </c>
      <c r="U41" s="79">
        <f t="shared" si="4"/>
        <v>190.70000000000002</v>
      </c>
      <c r="V41" s="79"/>
      <c r="W41" s="79"/>
      <c r="X41" s="79"/>
      <c r="Y41" s="79"/>
      <c r="Z41" s="79"/>
      <c r="AA41" s="81"/>
    </row>
    <row r="42" spans="1:32" x14ac:dyDescent="0.25">
      <c r="A42" s="78"/>
      <c r="B42" s="78"/>
      <c r="C42" s="78"/>
      <c r="D42" s="78"/>
      <c r="E42" s="78"/>
      <c r="F42" s="73"/>
      <c r="G42" s="73"/>
      <c r="H42" s="73"/>
      <c r="I42" s="73"/>
    </row>
    <row r="43" spans="1:32" x14ac:dyDescent="0.25">
      <c r="A43" s="78"/>
      <c r="B43" s="78"/>
      <c r="C43" s="78"/>
      <c r="D43" s="78"/>
      <c r="E43" s="78"/>
      <c r="F43" s="73"/>
      <c r="G43" s="73"/>
      <c r="H43" s="73"/>
      <c r="I43" s="73"/>
    </row>
    <row r="44" spans="1:32" x14ac:dyDescent="0.25">
      <c r="A44" s="72"/>
      <c r="B44" s="72"/>
      <c r="C44" s="72"/>
      <c r="D44" s="72"/>
      <c r="E44" s="72"/>
      <c r="F44" s="73"/>
      <c r="G44" s="73"/>
    </row>
  </sheetData>
  <pageMargins left="0.5" right="0.5" top="0.75" bottom="0.75" header="0.5" footer="0.5"/>
  <pageSetup paperSize="5" scale="79" orientation="landscape" r:id="rId1"/>
  <headerFooter alignWithMargins="0">
    <oddFooter>&amp;L&amp;8&amp;D
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workbookViewId="0">
      <pane xSplit="1" ySplit="3" topLeftCell="B16" activePane="bottomRight" state="frozen"/>
      <selection pane="topRight" activeCell="B1" sqref="B1"/>
      <selection pane="bottomLeft" activeCell="A4" sqref="A4"/>
      <selection pane="bottomRight" activeCell="J13" sqref="J13"/>
    </sheetView>
  </sheetViews>
  <sheetFormatPr defaultRowHeight="12.5" x14ac:dyDescent="0.25"/>
  <cols>
    <col min="1" max="1" width="32.7265625" customWidth="1"/>
    <col min="2" max="6" width="12.7265625" style="1" customWidth="1"/>
    <col min="7" max="7" width="12.7265625" style="21" customWidth="1"/>
    <col min="8" max="8" width="12.7265625" style="1" customWidth="1"/>
    <col min="9" max="13" width="12.7265625" customWidth="1"/>
  </cols>
  <sheetData>
    <row r="1" spans="1:13" ht="15.5" x14ac:dyDescent="0.35">
      <c r="A1" s="39" t="s">
        <v>116</v>
      </c>
    </row>
    <row r="3" spans="1:13" ht="26" x14ac:dyDescent="0.3">
      <c r="B3" s="41" t="s">
        <v>50</v>
      </c>
      <c r="C3" s="41" t="s">
        <v>59</v>
      </c>
      <c r="D3" s="41" t="s">
        <v>66</v>
      </c>
      <c r="E3" s="41" t="s">
        <v>71</v>
      </c>
      <c r="F3" s="41" t="s">
        <v>74</v>
      </c>
      <c r="G3" s="41" t="s">
        <v>114</v>
      </c>
      <c r="H3" s="41" t="s">
        <v>115</v>
      </c>
      <c r="I3" s="41" t="s">
        <v>124</v>
      </c>
      <c r="J3" s="41" t="s">
        <v>125</v>
      </c>
      <c r="K3" s="41" t="s">
        <v>126</v>
      </c>
      <c r="L3" s="41" t="s">
        <v>127</v>
      </c>
      <c r="M3" s="41" t="s">
        <v>128</v>
      </c>
    </row>
    <row r="4" spans="1:13" ht="13" x14ac:dyDescent="0.3">
      <c r="A4" s="18" t="s">
        <v>53</v>
      </c>
      <c r="B4" s="27">
        <f>'Purchased Power Model '!B150</f>
        <v>93884880</v>
      </c>
      <c r="C4" s="27">
        <f>'Purchased Power Model '!B151</f>
        <v>81867475</v>
      </c>
      <c r="D4" s="27">
        <f>'Purchased Power Model '!B152</f>
        <v>76016629</v>
      </c>
      <c r="E4" s="27">
        <f>'Purchased Power Model '!B153</f>
        <v>74719842</v>
      </c>
      <c r="F4" s="27">
        <f>'Purchased Power Model '!B154</f>
        <v>76399313</v>
      </c>
      <c r="G4" s="27">
        <f>'Purchased Power Model '!B155</f>
        <v>75601634</v>
      </c>
      <c r="H4" s="27">
        <f>'Purchased Power Model '!B156</f>
        <v>87692322.840000004</v>
      </c>
      <c r="I4" s="27">
        <f>'Purchased Power Model '!B157</f>
        <v>89519316.590000004</v>
      </c>
      <c r="J4" s="27">
        <f>'Purchased Power Model '!B158</f>
        <v>83393450.549999982</v>
      </c>
      <c r="K4" s="27">
        <f>'Purchased Power Model '!B159</f>
        <v>75446074.609999999</v>
      </c>
    </row>
    <row r="5" spans="1:13" ht="13" x14ac:dyDescent="0.3">
      <c r="A5" s="18" t="s">
        <v>54</v>
      </c>
      <c r="B5" s="27">
        <f>'Purchased Power Model '!L150</f>
        <v>93451827.500962675</v>
      </c>
      <c r="C5" s="27">
        <f>'Purchased Power Model '!L151</f>
        <v>85259100.60203144</v>
      </c>
      <c r="D5" s="27">
        <f>'Purchased Power Model '!L152</f>
        <v>77177027.372777522</v>
      </c>
      <c r="E5" s="27">
        <f>'Purchased Power Model '!L153</f>
        <v>75440016.775785387</v>
      </c>
      <c r="F5" s="27">
        <f>'Purchased Power Model '!L154</f>
        <v>75267547.298117638</v>
      </c>
      <c r="G5" s="27">
        <f>'Purchased Power Model '!L155</f>
        <v>71564079.895249054</v>
      </c>
      <c r="H5" s="27">
        <f>'Purchased Power Model '!L156</f>
        <v>88405736.764243901</v>
      </c>
      <c r="I5" s="27">
        <f>'Purchased Power Model '!L157</f>
        <v>90214179.810000777</v>
      </c>
      <c r="J5" s="27">
        <f>'Purchased Power Model '!L158</f>
        <v>82676462.805198818</v>
      </c>
      <c r="K5" s="27">
        <f>'Purchased Power Model '!L159</f>
        <v>75084958.765632868</v>
      </c>
      <c r="L5" s="27">
        <f>'Purchased Power Model '!L160</f>
        <v>76703579.476203829</v>
      </c>
      <c r="M5" s="27">
        <f>'Purchased Power Model '!L161</f>
        <v>76703579.476203829</v>
      </c>
    </row>
    <row r="6" spans="1:13" ht="13" x14ac:dyDescent="0.3">
      <c r="A6" s="18" t="s">
        <v>9</v>
      </c>
      <c r="B6" s="40">
        <f>(B5-B4)/B4</f>
        <v>-4.6125904302942644E-3</v>
      </c>
      <c r="C6" s="40">
        <f t="shared" ref="C6:K6" si="0">(C5-C4)/C4</f>
        <v>4.1428242437322509E-2</v>
      </c>
      <c r="D6" s="40">
        <f t="shared" si="0"/>
        <v>1.5265059606596363E-2</v>
      </c>
      <c r="E6" s="40">
        <f t="shared" si="0"/>
        <v>9.6383337612703547E-3</v>
      </c>
      <c r="F6" s="40">
        <f t="shared" si="0"/>
        <v>-1.4813820405457865E-2</v>
      </c>
      <c r="G6" s="40">
        <f t="shared" si="0"/>
        <v>-5.3405646030758355E-2</v>
      </c>
      <c r="H6" s="40">
        <f t="shared" si="0"/>
        <v>8.1354205378453073E-3</v>
      </c>
      <c r="I6" s="40">
        <f t="shared" si="0"/>
        <v>7.7621595703557377E-3</v>
      </c>
      <c r="J6" s="40">
        <f t="shared" si="0"/>
        <v>-8.597650535772966E-3</v>
      </c>
      <c r="K6" s="40">
        <f t="shared" si="0"/>
        <v>-4.7864099787010986E-3</v>
      </c>
      <c r="M6" s="35"/>
    </row>
    <row r="7" spans="1:13" ht="13" x14ac:dyDescent="0.3">
      <c r="A7" s="18" t="s">
        <v>129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35">
        <f>'Rate Class Energy Model'!G13-'Rate Class Energy Model'!C13</f>
        <v>-3585478.6515972614</v>
      </c>
      <c r="M7" s="35">
        <f>'Rate Class Energy Model'!G14-'Rate Class Energy Model'!C14</f>
        <v>-3585478.6515972614</v>
      </c>
    </row>
    <row r="8" spans="1:13" ht="13" x14ac:dyDescent="0.3">
      <c r="A8" s="18" t="s">
        <v>130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35">
        <f>-'Rate Class Energy Model'!G71</f>
        <v>-353500</v>
      </c>
      <c r="M8" s="35">
        <f>-'Rate Class Energy Model'!G72</f>
        <v>-1054000</v>
      </c>
    </row>
    <row r="9" spans="1:13" ht="13" x14ac:dyDescent="0.3">
      <c r="A9" s="18" t="s">
        <v>131</v>
      </c>
      <c r="B9" s="27">
        <f>'Rate Class Energy Model'!G3</f>
        <v>90679122</v>
      </c>
      <c r="C9" s="27">
        <f>'Rate Class Energy Model'!G4</f>
        <v>76752093</v>
      </c>
      <c r="D9" s="27">
        <f>'Rate Class Energy Model'!G5</f>
        <v>72428352</v>
      </c>
      <c r="E9" s="27">
        <f>'Rate Class Energy Model'!G6</f>
        <v>71078855.459999993</v>
      </c>
      <c r="F9" s="27">
        <f>'Rate Class Energy Model'!G7</f>
        <v>73098433</v>
      </c>
      <c r="G9" s="27">
        <f>'Rate Class Energy Model'!G8</f>
        <v>71922866.150000006</v>
      </c>
      <c r="H9" s="27">
        <f>'Rate Class Energy Model'!G9</f>
        <v>83168941.38000001</v>
      </c>
      <c r="I9" s="27">
        <f>'Rate Class Energy Model'!G10</f>
        <v>85548132.539999992</v>
      </c>
      <c r="J9" s="27">
        <f>'Rate Class Energy Model'!G11</f>
        <v>79338527.25</v>
      </c>
      <c r="K9" s="27">
        <f>'Rate Class Energy Model'!G12</f>
        <v>70815697.800000012</v>
      </c>
      <c r="L9" s="49">
        <f>L5+L7+L8</f>
        <v>72764600.824606568</v>
      </c>
      <c r="M9" s="49">
        <f>M5+M7+M8</f>
        <v>72064100.824606568</v>
      </c>
    </row>
    <row r="10" spans="1:13" ht="13" x14ac:dyDescent="0.3">
      <c r="A10" s="18"/>
      <c r="B10" s="37"/>
      <c r="D10" s="21"/>
      <c r="E10" s="21"/>
      <c r="K10" s="27"/>
      <c r="L10" s="49"/>
      <c r="M10" s="27"/>
    </row>
    <row r="11" spans="1:13" ht="15.5" x14ac:dyDescent="0.35">
      <c r="A11" s="39" t="s">
        <v>55</v>
      </c>
      <c r="H11" s="27"/>
    </row>
    <row r="12" spans="1:13" ht="13" x14ac:dyDescent="0.3">
      <c r="A12" s="38" t="str">
        <f>'Rate Class Energy Model'!H2</f>
        <v>Residential</v>
      </c>
    </row>
    <row r="13" spans="1:13" x14ac:dyDescent="0.25">
      <c r="A13" t="s">
        <v>47</v>
      </c>
      <c r="B13" s="6">
        <f>'Rate Class Customer Model'!B3</f>
        <v>2320</v>
      </c>
      <c r="C13" s="6">
        <f>'Rate Class Customer Model'!B4</f>
        <v>2333</v>
      </c>
      <c r="D13" s="6">
        <f>'Rate Class Customer Model'!B5</f>
        <v>2325</v>
      </c>
      <c r="E13" s="6">
        <f>'Rate Class Customer Model'!B6</f>
        <v>2327</v>
      </c>
      <c r="F13" s="6">
        <f>'Rate Class Customer Model'!B7</f>
        <v>2339</v>
      </c>
      <c r="G13" s="6">
        <f>'Rate Class Customer Model'!B8</f>
        <v>2344.25</v>
      </c>
      <c r="H13" s="6">
        <f>'Rate Class Customer Model'!B9</f>
        <v>2346.25</v>
      </c>
      <c r="I13" s="6">
        <f>'Rate Class Customer Model'!B10</f>
        <v>2355.8333333333335</v>
      </c>
      <c r="J13" s="6">
        <f>'Rate Class Customer Model'!B11</f>
        <v>2356.75</v>
      </c>
      <c r="K13" s="6">
        <f>'Rate Class Customer Model'!B12</f>
        <v>2374.3333333333335</v>
      </c>
      <c r="L13" s="25">
        <f>'Rate Class Customer Model'!B13</f>
        <v>2380.4483782880525</v>
      </c>
      <c r="M13" s="6">
        <f>'Rate Class Customer Model'!B14</f>
        <v>2386.5791724108744</v>
      </c>
    </row>
    <row r="14" spans="1:13" x14ac:dyDescent="0.25">
      <c r="A14" t="s">
        <v>48</v>
      </c>
      <c r="B14" s="6">
        <f>'Rate Class Energy Model'!H3</f>
        <v>32814076</v>
      </c>
      <c r="C14" s="6">
        <f>'Rate Class Energy Model'!H4</f>
        <v>33587664</v>
      </c>
      <c r="D14" s="6">
        <f>'Rate Class Energy Model'!H5</f>
        <v>33747939</v>
      </c>
      <c r="E14" s="6">
        <f>'Rate Class Energy Model'!H6</f>
        <v>31178902</v>
      </c>
      <c r="F14" s="6">
        <f>'Rate Class Energy Model'!H7</f>
        <v>32694600</v>
      </c>
      <c r="G14" s="6">
        <f>'Rate Class Energy Model'!H8</f>
        <v>32285777.940000001</v>
      </c>
      <c r="H14" s="6">
        <f>'Rate Class Energy Model'!H9</f>
        <v>36371058.950000003</v>
      </c>
      <c r="I14" s="6">
        <f>'Rate Class Energy Model'!H10</f>
        <v>37207390.200000003</v>
      </c>
      <c r="J14" s="6">
        <f>'Rate Class Energy Model'!H11</f>
        <v>33751334.479999997</v>
      </c>
      <c r="K14" s="6">
        <f>'Rate Class Energy Model'!H12</f>
        <v>32668224.870000001</v>
      </c>
      <c r="L14" s="25">
        <f>'Rate Class Energy Model'!H55</f>
        <v>33524773.252216704</v>
      </c>
      <c r="M14" s="6">
        <f>'Rate Class Energy Model'!H56</f>
        <v>32918745.903764922</v>
      </c>
    </row>
    <row r="15" spans="1:13" x14ac:dyDescent="0.25">
      <c r="C15" s="43"/>
      <c r="D15" s="21"/>
      <c r="E15" s="21"/>
    </row>
    <row r="16" spans="1:13" ht="13" x14ac:dyDescent="0.3">
      <c r="A16" s="38" t="str">
        <f>'Rate Class Energy Model'!I2</f>
        <v>GS&lt;50</v>
      </c>
    </row>
    <row r="17" spans="1:13" x14ac:dyDescent="0.25">
      <c r="A17" t="s">
        <v>47</v>
      </c>
      <c r="B17" s="6">
        <f>'Rate Class Customer Model'!C3</f>
        <v>405</v>
      </c>
      <c r="C17" s="6">
        <f>'Rate Class Customer Model'!C4</f>
        <v>404</v>
      </c>
      <c r="D17" s="6">
        <f>'Rate Class Customer Model'!C5</f>
        <v>404</v>
      </c>
      <c r="E17" s="6">
        <f>'Rate Class Customer Model'!C6</f>
        <v>403</v>
      </c>
      <c r="F17" s="6">
        <f>'Rate Class Customer Model'!C7</f>
        <v>392</v>
      </c>
      <c r="G17" s="6">
        <f>'Rate Class Customer Model'!C8</f>
        <v>394.75</v>
      </c>
      <c r="H17" s="6">
        <f>'Rate Class Customer Model'!C9</f>
        <v>400.08333333333331</v>
      </c>
      <c r="I17" s="6">
        <f>'Rate Class Customer Model'!C10</f>
        <v>403.91666666666669</v>
      </c>
      <c r="J17" s="6">
        <f>'Rate Class Customer Model'!C11</f>
        <v>403.75</v>
      </c>
      <c r="K17" s="6">
        <f>'Rate Class Customer Model'!C12</f>
        <v>402.08333333333331</v>
      </c>
      <c r="L17" s="6">
        <f>'Rate Class Customer Model'!C13</f>
        <v>402.08333333333331</v>
      </c>
      <c r="M17" s="6">
        <f>'Rate Class Customer Model'!C14</f>
        <v>402.08333333333331</v>
      </c>
    </row>
    <row r="18" spans="1:13" x14ac:dyDescent="0.25">
      <c r="A18" t="s">
        <v>48</v>
      </c>
      <c r="B18" s="6">
        <f>'Rate Class Energy Model'!I3</f>
        <v>15307581</v>
      </c>
      <c r="C18" s="6">
        <f>'Rate Class Energy Model'!I4</f>
        <v>15183848</v>
      </c>
      <c r="D18" s="6">
        <f>'Rate Class Energy Model'!I5</f>
        <v>16172932</v>
      </c>
      <c r="E18" s="6">
        <f>'Rate Class Energy Model'!I6</f>
        <v>14190567</v>
      </c>
      <c r="F18" s="6">
        <f>'Rate Class Energy Model'!I7</f>
        <v>12624003</v>
      </c>
      <c r="G18" s="6">
        <f>'Rate Class Energy Model'!I8</f>
        <v>11883434.99</v>
      </c>
      <c r="H18" s="6">
        <f>'Rate Class Energy Model'!I9</f>
        <v>12926387.779999999</v>
      </c>
      <c r="I18" s="6">
        <f>'Rate Class Energy Model'!I10</f>
        <v>13500465.83</v>
      </c>
      <c r="J18" s="6">
        <f>'Rate Class Energy Model'!I11</f>
        <v>12579055.51</v>
      </c>
      <c r="K18" s="6">
        <f>'Rate Class Energy Model'!I12</f>
        <v>11845271.470000001</v>
      </c>
      <c r="L18" s="6">
        <f>'Rate Class Energy Model'!I55</f>
        <v>12143659.082122359</v>
      </c>
      <c r="M18" s="6">
        <f>'Rate Class Energy Model'!I56</f>
        <v>11931507.783663193</v>
      </c>
    </row>
    <row r="19" spans="1:13" x14ac:dyDescent="0.25">
      <c r="C19" s="43"/>
      <c r="D19" s="21"/>
      <c r="E19" s="21"/>
    </row>
    <row r="20" spans="1:13" ht="13" x14ac:dyDescent="0.3">
      <c r="A20" s="38" t="str">
        <f>'Rate Class Energy Model'!J2</f>
        <v>GS&gt;50</v>
      </c>
    </row>
    <row r="21" spans="1:13" x14ac:dyDescent="0.25">
      <c r="A21" t="s">
        <v>47</v>
      </c>
      <c r="B21" s="6">
        <f>'Rate Class Customer Model'!D3</f>
        <v>42</v>
      </c>
      <c r="C21" s="6">
        <f>'Rate Class Customer Model'!D4</f>
        <v>41</v>
      </c>
      <c r="D21" s="6">
        <f>'Rate Class Customer Model'!D5</f>
        <v>40</v>
      </c>
      <c r="E21" s="6">
        <f>'Rate Class Customer Model'!D6</f>
        <v>45</v>
      </c>
      <c r="F21" s="25">
        <f>'Rate Class Customer Model'!D7</f>
        <v>50</v>
      </c>
      <c r="G21" s="25">
        <f>'Rate Class Customer Model'!D8</f>
        <v>51.75</v>
      </c>
      <c r="H21" s="25">
        <f>'Rate Class Customer Model'!D9</f>
        <v>53.083333333333336</v>
      </c>
      <c r="I21" s="25">
        <f>'Rate Class Customer Model'!D10</f>
        <v>52.166666666666664</v>
      </c>
      <c r="J21" s="25">
        <f>'Rate Class Customer Model'!D11</f>
        <v>51.25</v>
      </c>
      <c r="K21" s="25">
        <f>'Rate Class Customer Model'!D12</f>
        <v>50.5</v>
      </c>
      <c r="L21" s="6">
        <f>'Rate Class Customer Model'!D13</f>
        <v>51.544810037521799</v>
      </c>
      <c r="M21" s="6">
        <f>'Rate Class Customer Model'!D14</f>
        <v>52.611236471370454</v>
      </c>
    </row>
    <row r="22" spans="1:13" x14ac:dyDescent="0.25">
      <c r="A22" t="s">
        <v>48</v>
      </c>
      <c r="B22" s="6">
        <f>'Rate Class Energy Model'!J3</f>
        <v>42025394</v>
      </c>
      <c r="C22" s="6">
        <f>'Rate Class Energy Model'!J4</f>
        <v>27443928</v>
      </c>
      <c r="D22" s="6">
        <f>'Rate Class Energy Model'!J5</f>
        <v>21993284</v>
      </c>
      <c r="E22" s="6">
        <f>'Rate Class Energy Model'!J6</f>
        <v>25204983</v>
      </c>
      <c r="F22" s="6">
        <f>'Rate Class Energy Model'!J7</f>
        <v>27265781</v>
      </c>
      <c r="G22" s="6">
        <f>'Rate Class Energy Model'!J8</f>
        <v>27280733</v>
      </c>
      <c r="H22" s="6">
        <f>'Rate Class Energy Model'!J9</f>
        <v>33352061.699999999</v>
      </c>
      <c r="I22" s="6">
        <f>'Rate Class Energy Model'!J10</f>
        <v>34318920.789999999</v>
      </c>
      <c r="J22" s="6">
        <f>'Rate Class Energy Model'!J11</f>
        <v>32657664.609999999</v>
      </c>
      <c r="K22" s="6">
        <f>'Rate Class Energy Model'!J12</f>
        <v>26151604.510000002</v>
      </c>
      <c r="L22" s="6">
        <f>'Rate Class Energy Model'!J55</f>
        <v>26945571.540267501</v>
      </c>
      <c r="M22" s="6">
        <f>'Rate Class Energy Model'!J56</f>
        <v>27063250.187178444</v>
      </c>
    </row>
    <row r="23" spans="1:13" x14ac:dyDescent="0.25">
      <c r="A23" t="s">
        <v>49</v>
      </c>
      <c r="B23" s="6">
        <f>'Rate Class Load Model'!B2</f>
        <v>105960</v>
      </c>
      <c r="C23" s="6">
        <f>'Rate Class Load Model'!B3</f>
        <v>75100</v>
      </c>
      <c r="D23" s="6">
        <f>'Rate Class Load Model'!B4</f>
        <v>56741</v>
      </c>
      <c r="E23" s="25">
        <f>'Rate Class Load Model'!B5</f>
        <v>71492</v>
      </c>
      <c r="F23" s="25">
        <f>'Rate Class Load Model'!B6</f>
        <v>66653.13</v>
      </c>
      <c r="G23" s="25">
        <f>'Rate Class Load Model'!B7</f>
        <v>66215.44</v>
      </c>
      <c r="H23" s="25">
        <f>'Rate Class Load Model'!B8</f>
        <v>92251.04</v>
      </c>
      <c r="I23" s="25">
        <f>'Rate Class Load Model'!B9</f>
        <v>99287.98</v>
      </c>
      <c r="J23" s="25">
        <f>'Rate Class Load Model'!B10</f>
        <v>94898.52</v>
      </c>
      <c r="K23" s="25">
        <f>'Rate Class Load Model'!B11</f>
        <v>66975.05</v>
      </c>
      <c r="L23" s="6">
        <f>'Rate Class Load Model'!B12</f>
        <v>71868.92828486074</v>
      </c>
      <c r="M23" s="6">
        <f>'Rate Class Load Model'!B13</f>
        <v>72182.799461163799</v>
      </c>
    </row>
    <row r="24" spans="1:13" x14ac:dyDescent="0.25">
      <c r="C24" s="43"/>
      <c r="D24" s="21"/>
      <c r="E24" s="21"/>
      <c r="K24" s="25"/>
    </row>
    <row r="25" spans="1:13" ht="13" x14ac:dyDescent="0.3">
      <c r="A25" s="38" t="str">
        <f>'Rate Class Energy Model'!L2</f>
        <v>Streetlights</v>
      </c>
    </row>
    <row r="26" spans="1:13" x14ac:dyDescent="0.25">
      <c r="A26" t="s">
        <v>67</v>
      </c>
      <c r="B26" s="6">
        <f>'Rate Class Customer Model'!F3</f>
        <v>533</v>
      </c>
      <c r="C26" s="6">
        <f>'Rate Class Customer Model'!F4</f>
        <v>532</v>
      </c>
      <c r="D26" s="6">
        <f>'Rate Class Customer Model'!F5</f>
        <v>534</v>
      </c>
      <c r="E26" s="25">
        <f>'Rate Class Customer Model'!F6</f>
        <v>532</v>
      </c>
      <c r="F26" s="25">
        <f>'Rate Class Customer Model'!F7</f>
        <v>532</v>
      </c>
      <c r="G26" s="25">
        <f>'Rate Class Customer Model'!F8</f>
        <v>532</v>
      </c>
      <c r="H26" s="25">
        <f>'Rate Class Customer Model'!F9</f>
        <v>532</v>
      </c>
      <c r="I26" s="25">
        <f>'Rate Class Customer Model'!F10</f>
        <v>534</v>
      </c>
      <c r="J26" s="25">
        <f>'Rate Class Customer Model'!F11</f>
        <v>532</v>
      </c>
      <c r="K26" s="25">
        <f>'Rate Class Customer Model'!F12</f>
        <v>531</v>
      </c>
      <c r="L26" s="6">
        <f>'Rate Class Customer Model'!F13</f>
        <v>531</v>
      </c>
      <c r="M26" s="6">
        <f>'Rate Class Customer Model'!F14</f>
        <v>531</v>
      </c>
    </row>
    <row r="27" spans="1:13" x14ac:dyDescent="0.25">
      <c r="A27" t="s">
        <v>48</v>
      </c>
      <c r="B27" s="6">
        <f>'Rate Class Energy Model'!L3</f>
        <v>489585</v>
      </c>
      <c r="C27" s="6">
        <f>'Rate Class Energy Model'!L4</f>
        <v>494167</v>
      </c>
      <c r="D27" s="6">
        <f>'Rate Class Energy Model'!L5</f>
        <v>471711</v>
      </c>
      <c r="E27" s="6">
        <f>'Rate Class Energy Model'!L6</f>
        <v>468441</v>
      </c>
      <c r="F27" s="6">
        <f>'Rate Class Energy Model'!L7</f>
        <v>498452</v>
      </c>
      <c r="G27" s="6">
        <f>'Rate Class Energy Model'!L8</f>
        <v>468215.62</v>
      </c>
      <c r="H27" s="6">
        <f>'Rate Class Energy Model'!L9</f>
        <v>517278.95</v>
      </c>
      <c r="I27" s="6">
        <f>'Rate Class Energy Model'!L10</f>
        <v>519120.72</v>
      </c>
      <c r="J27" s="6">
        <f>'Rate Class Energy Model'!L11</f>
        <v>348984.65</v>
      </c>
      <c r="K27" s="6">
        <f>'Rate Class Energy Model'!L12</f>
        <v>150596.95000000001</v>
      </c>
      <c r="L27" s="6">
        <f>'Rate Class Energy Model'!L55</f>
        <v>150596.95000000001</v>
      </c>
      <c r="M27" s="53">
        <f>'Rate Class Energy Model'!L56</f>
        <v>150596.95000000001</v>
      </c>
    </row>
    <row r="28" spans="1:13" x14ac:dyDescent="0.25">
      <c r="A28" t="s">
        <v>49</v>
      </c>
      <c r="B28" s="6">
        <f>'Rate Class Load Model'!C2</f>
        <v>1447</v>
      </c>
      <c r="C28" s="6">
        <f>'Rate Class Load Model'!C3</f>
        <v>1445</v>
      </c>
      <c r="D28" s="6">
        <f>'Rate Class Load Model'!C4</f>
        <v>1445</v>
      </c>
      <c r="E28" s="25">
        <f>'Rate Class Load Model'!C5</f>
        <v>1448</v>
      </c>
      <c r="F28" s="25">
        <f>'Rate Class Load Model'!C6</f>
        <v>1446</v>
      </c>
      <c r="G28" s="25">
        <f>'Rate Class Load Model'!C7</f>
        <v>1446.63</v>
      </c>
      <c r="H28" s="25">
        <f>'Rate Class Load Model'!C8</f>
        <v>1449.81</v>
      </c>
      <c r="I28" s="25">
        <f>'Rate Class Load Model'!C9</f>
        <v>1453.61</v>
      </c>
      <c r="J28" s="25">
        <f>'Rate Class Load Model'!C10</f>
        <v>1104.19</v>
      </c>
      <c r="K28" s="25">
        <f>'Rate Class Load Model'!C11</f>
        <v>420.26</v>
      </c>
      <c r="L28" s="6">
        <f>'Rate Class Load Model'!C12</f>
        <v>420.26</v>
      </c>
      <c r="M28" s="6">
        <f>'Rate Class Load Model'!C13</f>
        <v>420.26</v>
      </c>
    </row>
    <row r="30" spans="1:13" ht="13" x14ac:dyDescent="0.3">
      <c r="A30" s="38" t="str">
        <f>'Rate Class Energy Model'!K2</f>
        <v>USL</v>
      </c>
    </row>
    <row r="31" spans="1:13" x14ac:dyDescent="0.25">
      <c r="A31" t="s">
        <v>67</v>
      </c>
      <c r="B31" s="6">
        <f>'Rate Class Customer Model'!E3</f>
        <v>13</v>
      </c>
      <c r="C31" s="6">
        <f>'Rate Class Customer Model'!E4</f>
        <v>13</v>
      </c>
      <c r="D31" s="6">
        <f>'Rate Class Customer Model'!E5</f>
        <v>13</v>
      </c>
      <c r="E31" s="25">
        <f>'Rate Class Customer Model'!E6</f>
        <v>9</v>
      </c>
      <c r="F31" s="25">
        <f>'Rate Class Customer Model'!E7</f>
        <v>3</v>
      </c>
      <c r="G31" s="25">
        <f>'Rate Class Customer Model'!E8</f>
        <v>2</v>
      </c>
      <c r="H31" s="25">
        <f>'Rate Class Customer Model'!E9</f>
        <v>1</v>
      </c>
      <c r="I31" s="25">
        <f>'Rate Class Customer Model'!E10</f>
        <v>1</v>
      </c>
      <c r="J31" s="25">
        <f>'Rate Class Customer Model'!E11</f>
        <v>0.67</v>
      </c>
      <c r="K31" s="25">
        <f>'Rate Class Customer Model'!E12</f>
        <v>0</v>
      </c>
      <c r="L31" s="6">
        <f>'Rate Class Customer Model'!E13</f>
        <v>0</v>
      </c>
      <c r="M31" s="6">
        <f>'Rate Class Customer Model'!E14</f>
        <v>0</v>
      </c>
    </row>
    <row r="32" spans="1:13" x14ac:dyDescent="0.25">
      <c r="A32" t="s">
        <v>48</v>
      </c>
      <c r="B32" s="6">
        <f>'Rate Class Energy Model'!K3</f>
        <v>42486</v>
      </c>
      <c r="C32" s="6">
        <f>'Rate Class Energy Model'!K4</f>
        <v>42486</v>
      </c>
      <c r="D32" s="6">
        <f>'Rate Class Energy Model'!K5</f>
        <v>42486</v>
      </c>
      <c r="E32" s="6">
        <f>'Rate Class Energy Model'!K6</f>
        <v>35962.46</v>
      </c>
      <c r="F32" s="6">
        <f>'Rate Class Energy Model'!K7</f>
        <v>15597</v>
      </c>
      <c r="G32" s="6">
        <f>'Rate Class Energy Model'!K8</f>
        <v>4704.6000000000004</v>
      </c>
      <c r="H32" s="6">
        <f>'Rate Class Energy Model'!K9</f>
        <v>2154</v>
      </c>
      <c r="I32" s="6">
        <f>'Rate Class Energy Model'!K10</f>
        <v>2235</v>
      </c>
      <c r="J32" s="6">
        <f>'Rate Class Energy Model'!K11</f>
        <v>1488</v>
      </c>
      <c r="K32" s="6">
        <f>'Rate Class Energy Model'!K12</f>
        <v>0</v>
      </c>
      <c r="L32" s="6">
        <f>'Rate Class Energy Model'!K55</f>
        <v>0</v>
      </c>
      <c r="M32" s="6">
        <f>'Rate Class Energy Model'!K56</f>
        <v>0</v>
      </c>
    </row>
    <row r="34" spans="1:13" ht="13" x14ac:dyDescent="0.3">
      <c r="A34" s="38" t="s">
        <v>68</v>
      </c>
      <c r="C34" s="6"/>
      <c r="D34" s="6"/>
      <c r="E34" s="6"/>
      <c r="F34" s="6"/>
    </row>
    <row r="35" spans="1:13" x14ac:dyDescent="0.25">
      <c r="A35" t="s">
        <v>52</v>
      </c>
      <c r="B35" s="6">
        <f t="shared" ref="B35:M35" si="1">B13+B17+B21+B26+B31</f>
        <v>3313</v>
      </c>
      <c r="C35" s="6">
        <f t="shared" si="1"/>
        <v>3323</v>
      </c>
      <c r="D35" s="6">
        <f t="shared" si="1"/>
        <v>3316</v>
      </c>
      <c r="E35" s="6">
        <f t="shared" si="1"/>
        <v>3316</v>
      </c>
      <c r="F35" s="6">
        <f t="shared" si="1"/>
        <v>3316</v>
      </c>
      <c r="G35" s="6">
        <f t="shared" si="1"/>
        <v>3324.75</v>
      </c>
      <c r="H35" s="6">
        <f t="shared" si="1"/>
        <v>3332.416666666667</v>
      </c>
      <c r="I35" s="6">
        <f t="shared" si="1"/>
        <v>3346.9166666666665</v>
      </c>
      <c r="J35" s="6">
        <f t="shared" si="1"/>
        <v>3344.42</v>
      </c>
      <c r="K35" s="6">
        <f t="shared" si="1"/>
        <v>3357.916666666667</v>
      </c>
      <c r="L35" s="6">
        <f t="shared" si="1"/>
        <v>3365.076521658908</v>
      </c>
      <c r="M35" s="6">
        <f t="shared" si="1"/>
        <v>3372.2737422155783</v>
      </c>
    </row>
    <row r="36" spans="1:13" x14ac:dyDescent="0.25">
      <c r="A36" t="s">
        <v>48</v>
      </c>
      <c r="B36" s="6">
        <f t="shared" ref="B36:E36" si="2">B14+B18+B22+B27+B32</f>
        <v>90679122</v>
      </c>
      <c r="C36" s="6">
        <f t="shared" si="2"/>
        <v>76752093</v>
      </c>
      <c r="D36" s="6">
        <f t="shared" si="2"/>
        <v>72428352</v>
      </c>
      <c r="E36" s="6">
        <f t="shared" si="2"/>
        <v>71078855.459999993</v>
      </c>
      <c r="F36" s="6">
        <f>F14+F18+F22+F27+F32</f>
        <v>73098433</v>
      </c>
      <c r="G36" s="6">
        <f t="shared" ref="G36:M36" si="3">G14+G18+G22+G27+G32</f>
        <v>71922866.150000006</v>
      </c>
      <c r="H36" s="6">
        <f t="shared" si="3"/>
        <v>83168941.38000001</v>
      </c>
      <c r="I36" s="6">
        <f t="shared" si="3"/>
        <v>85548132.539999992</v>
      </c>
      <c r="J36" s="6">
        <f t="shared" si="3"/>
        <v>79338527.25</v>
      </c>
      <c r="K36" s="6">
        <f t="shared" si="3"/>
        <v>70815697.800000012</v>
      </c>
      <c r="L36" s="6">
        <f t="shared" si="3"/>
        <v>72764600.824606568</v>
      </c>
      <c r="M36" s="6">
        <f t="shared" si="3"/>
        <v>72064100.824606568</v>
      </c>
    </row>
    <row r="37" spans="1:13" x14ac:dyDescent="0.25">
      <c r="A37" t="s">
        <v>51</v>
      </c>
      <c r="B37" s="6">
        <f t="shared" ref="B37:E37" si="4">B23+B28</f>
        <v>107407</v>
      </c>
      <c r="C37" s="6">
        <f t="shared" si="4"/>
        <v>76545</v>
      </c>
      <c r="D37" s="6">
        <f t="shared" si="4"/>
        <v>58186</v>
      </c>
      <c r="E37" s="6">
        <f t="shared" si="4"/>
        <v>72940</v>
      </c>
      <c r="F37" s="6">
        <f>F23+F28</f>
        <v>68099.13</v>
      </c>
      <c r="G37" s="6">
        <f t="shared" ref="G37:M37" si="5">G23+G28</f>
        <v>67662.070000000007</v>
      </c>
      <c r="H37" s="6">
        <f t="shared" si="5"/>
        <v>93700.849999999991</v>
      </c>
      <c r="I37" s="6">
        <f t="shared" si="5"/>
        <v>100741.59</v>
      </c>
      <c r="J37" s="6">
        <f t="shared" si="5"/>
        <v>96002.71</v>
      </c>
      <c r="K37" s="6">
        <f t="shared" si="5"/>
        <v>67395.31</v>
      </c>
      <c r="L37" s="6">
        <f t="shared" si="5"/>
        <v>72289.188284860735</v>
      </c>
      <c r="M37" s="6">
        <f t="shared" si="5"/>
        <v>72603.059461163793</v>
      </c>
    </row>
    <row r="38" spans="1:13" x14ac:dyDescent="0.25">
      <c r="L38" s="21"/>
      <c r="M38" s="1"/>
    </row>
    <row r="39" spans="1:13" ht="13" x14ac:dyDescent="0.3">
      <c r="A39" s="38" t="s">
        <v>69</v>
      </c>
      <c r="L39" s="21"/>
      <c r="M39" s="6"/>
    </row>
    <row r="40" spans="1:13" x14ac:dyDescent="0.25">
      <c r="A40" t="s">
        <v>52</v>
      </c>
      <c r="B40" s="6">
        <f>'Rate Class Customer Model'!G3</f>
        <v>3313</v>
      </c>
      <c r="C40" s="6">
        <f>'Rate Class Customer Model'!G4</f>
        <v>3323</v>
      </c>
      <c r="D40" s="6">
        <f>'Rate Class Customer Model'!G5</f>
        <v>3316</v>
      </c>
      <c r="E40" s="6">
        <f>'Rate Class Customer Model'!G6</f>
        <v>3316</v>
      </c>
      <c r="F40" s="6">
        <f>'Rate Class Customer Model'!G7</f>
        <v>3316</v>
      </c>
      <c r="G40" s="6">
        <f>'Rate Class Customer Model'!G8</f>
        <v>3324.75</v>
      </c>
      <c r="H40" s="6">
        <f>'Rate Class Customer Model'!G9</f>
        <v>3332.416666666667</v>
      </c>
      <c r="I40" s="6">
        <f>'Rate Class Customer Model'!G10</f>
        <v>3346.9166666666665</v>
      </c>
      <c r="J40" s="6">
        <f>'Rate Class Customer Model'!G11</f>
        <v>3344.42</v>
      </c>
      <c r="K40" s="6">
        <f>'Rate Class Customer Model'!G12</f>
        <v>3357.916666666667</v>
      </c>
      <c r="L40" s="6">
        <f>'Rate Class Customer Model'!G13</f>
        <v>3365.076521658908</v>
      </c>
      <c r="M40" s="6">
        <f>'Rate Class Customer Model'!G14</f>
        <v>3372.2737422155783</v>
      </c>
    </row>
    <row r="41" spans="1:13" x14ac:dyDescent="0.25">
      <c r="A41" t="s">
        <v>48</v>
      </c>
      <c r="B41" s="6">
        <f>'Rate Class Energy Model'!G3</f>
        <v>90679122</v>
      </c>
      <c r="C41" s="6">
        <f>'Rate Class Energy Model'!G4</f>
        <v>76752093</v>
      </c>
      <c r="D41" s="6">
        <f>'Rate Class Energy Model'!G5</f>
        <v>72428352</v>
      </c>
      <c r="E41" s="6">
        <f>'Rate Class Energy Model'!G6</f>
        <v>71078855.459999993</v>
      </c>
      <c r="F41" s="6">
        <f>'Rate Class Energy Model'!G7</f>
        <v>73098433</v>
      </c>
      <c r="G41" s="6">
        <f>'Rate Class Energy Model'!G8</f>
        <v>71922866.150000006</v>
      </c>
      <c r="H41" s="6">
        <f>'Rate Class Energy Model'!G9</f>
        <v>83168941.38000001</v>
      </c>
      <c r="I41" s="6">
        <f>'Rate Class Energy Model'!G10</f>
        <v>85548132.539999992</v>
      </c>
      <c r="J41" s="6">
        <f>'Rate Class Energy Model'!G11</f>
        <v>79338527.25</v>
      </c>
      <c r="K41" s="6">
        <f>'Rate Class Energy Model'!G12</f>
        <v>70815697.800000012</v>
      </c>
      <c r="L41" s="25">
        <f>'Rate Class Energy Model'!M55</f>
        <v>72764600.824606568</v>
      </c>
      <c r="M41" s="6">
        <f>'Rate Class Energy Model'!M56</f>
        <v>72064100.824606568</v>
      </c>
    </row>
    <row r="42" spans="1:13" x14ac:dyDescent="0.25">
      <c r="A42" t="s">
        <v>51</v>
      </c>
      <c r="B42" s="6">
        <f>'Rate Class Load Model'!D2</f>
        <v>107407</v>
      </c>
      <c r="C42" s="6">
        <f>'Rate Class Load Model'!D3</f>
        <v>76545</v>
      </c>
      <c r="D42" s="6">
        <f>'Rate Class Load Model'!D4</f>
        <v>58186</v>
      </c>
      <c r="E42" s="25">
        <f>'Rate Class Load Model'!D5</f>
        <v>72940</v>
      </c>
      <c r="F42" s="25">
        <f>'Rate Class Load Model'!D6</f>
        <v>68099.13</v>
      </c>
      <c r="G42" s="25">
        <f>'Rate Class Load Model'!D7</f>
        <v>67662.070000000007</v>
      </c>
      <c r="H42" s="25">
        <f>'Rate Class Load Model'!D8</f>
        <v>93700.849999999991</v>
      </c>
      <c r="I42" s="25">
        <f>'Rate Class Load Model'!D9</f>
        <v>100741.59</v>
      </c>
      <c r="J42" s="25">
        <f>'Rate Class Load Model'!D10</f>
        <v>96002.71</v>
      </c>
      <c r="K42" s="25">
        <f>'Rate Class Load Model'!D11</f>
        <v>67395.31</v>
      </c>
      <c r="L42" s="6">
        <f>'Rate Class Load Model'!D12</f>
        <v>72289.188284860735</v>
      </c>
      <c r="M42" s="6">
        <f>'Rate Class Load Model'!D13</f>
        <v>72603.059461163793</v>
      </c>
    </row>
    <row r="44" spans="1:13" ht="13" x14ac:dyDescent="0.3">
      <c r="A44" s="38" t="s">
        <v>70</v>
      </c>
      <c r="B44" s="6"/>
      <c r="C44" s="6"/>
      <c r="D44" s="6"/>
      <c r="E44" s="6"/>
      <c r="F44" s="6"/>
    </row>
    <row r="45" spans="1:13" x14ac:dyDescent="0.25">
      <c r="A45" t="s">
        <v>52</v>
      </c>
      <c r="B45" s="6">
        <f t="shared" ref="B45:F45" si="6">B35-B40</f>
        <v>0</v>
      </c>
      <c r="C45" s="6">
        <f t="shared" si="6"/>
        <v>0</v>
      </c>
      <c r="D45" s="6">
        <f t="shared" si="6"/>
        <v>0</v>
      </c>
      <c r="E45" s="6">
        <f t="shared" si="6"/>
        <v>0</v>
      </c>
      <c r="F45" s="6">
        <f t="shared" si="6"/>
        <v>0</v>
      </c>
      <c r="G45" s="6">
        <f t="shared" ref="G45:K45" si="7">G35-G40</f>
        <v>0</v>
      </c>
      <c r="H45" s="6">
        <f t="shared" si="7"/>
        <v>0</v>
      </c>
      <c r="I45" s="6">
        <f t="shared" si="7"/>
        <v>0</v>
      </c>
      <c r="J45" s="6">
        <f t="shared" si="7"/>
        <v>0</v>
      </c>
      <c r="K45" s="6">
        <f t="shared" si="7"/>
        <v>0</v>
      </c>
      <c r="L45" s="6">
        <f t="shared" ref="L45:M47" si="8">L35-L40</f>
        <v>0</v>
      </c>
      <c r="M45" s="6">
        <f t="shared" si="8"/>
        <v>0</v>
      </c>
    </row>
    <row r="46" spans="1:13" x14ac:dyDescent="0.25">
      <c r="A46" t="s">
        <v>48</v>
      </c>
      <c r="B46" s="6">
        <f t="shared" ref="B46:E47" si="9">B36-B41</f>
        <v>0</v>
      </c>
      <c r="C46" s="6">
        <f t="shared" si="9"/>
        <v>0</v>
      </c>
      <c r="D46" s="6">
        <f t="shared" si="9"/>
        <v>0</v>
      </c>
      <c r="E46" s="6">
        <f t="shared" si="9"/>
        <v>0</v>
      </c>
      <c r="F46" s="6">
        <f>F36-F41</f>
        <v>0</v>
      </c>
      <c r="G46" s="6">
        <f t="shared" ref="G46:K46" si="10">G36-G41</f>
        <v>0</v>
      </c>
      <c r="H46" s="6">
        <f t="shared" si="10"/>
        <v>0</v>
      </c>
      <c r="I46" s="6">
        <f t="shared" si="10"/>
        <v>0</v>
      </c>
      <c r="J46" s="6">
        <f t="shared" si="10"/>
        <v>0</v>
      </c>
      <c r="K46" s="6">
        <f t="shared" si="10"/>
        <v>0</v>
      </c>
      <c r="L46" s="6">
        <f t="shared" si="8"/>
        <v>0</v>
      </c>
      <c r="M46" s="6">
        <f t="shared" si="8"/>
        <v>0</v>
      </c>
    </row>
    <row r="47" spans="1:13" x14ac:dyDescent="0.25">
      <c r="A47" t="s">
        <v>51</v>
      </c>
      <c r="B47" s="6">
        <f t="shared" si="9"/>
        <v>0</v>
      </c>
      <c r="C47" s="6">
        <f t="shared" si="9"/>
        <v>0</v>
      </c>
      <c r="D47" s="6">
        <f t="shared" si="9"/>
        <v>0</v>
      </c>
      <c r="E47" s="6">
        <f t="shared" si="9"/>
        <v>0</v>
      </c>
      <c r="F47" s="6">
        <f>F37-F42</f>
        <v>0</v>
      </c>
      <c r="G47" s="6">
        <f t="shared" ref="G47:K47" si="11">G37-G42</f>
        <v>0</v>
      </c>
      <c r="H47" s="6">
        <f t="shared" si="11"/>
        <v>0</v>
      </c>
      <c r="I47" s="6">
        <f t="shared" si="11"/>
        <v>0</v>
      </c>
      <c r="J47" s="6">
        <f t="shared" si="11"/>
        <v>0</v>
      </c>
      <c r="K47" s="6">
        <f t="shared" si="11"/>
        <v>0</v>
      </c>
      <c r="L47" s="6">
        <f t="shared" si="8"/>
        <v>0</v>
      </c>
      <c r="M47" s="6">
        <f t="shared" si="8"/>
        <v>0</v>
      </c>
    </row>
  </sheetData>
  <phoneticPr fontId="0" type="noConversion"/>
  <pageMargins left="0.38" right="0.75" top="0.73" bottom="0.74" header="0.5" footer="0.5"/>
  <pageSetup scale="66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81"/>
  <sheetViews>
    <sheetView topLeftCell="C1" zoomScaleNormal="100" workbookViewId="0">
      <selection activeCell="O155" sqref="O155"/>
    </sheetView>
  </sheetViews>
  <sheetFormatPr defaultRowHeight="12.5" x14ac:dyDescent="0.25"/>
  <cols>
    <col min="1" max="1" width="11.81640625" customWidth="1"/>
    <col min="2" max="2" width="18" style="6" customWidth="1"/>
    <col min="3" max="3" width="11.7265625" style="91" customWidth="1"/>
    <col min="4" max="5" width="12.453125" style="91" customWidth="1"/>
    <col min="6" max="6" width="13.453125" style="91" hidden="1" customWidth="1"/>
    <col min="7" max="8" width="14.453125" style="32" hidden="1" customWidth="1"/>
    <col min="9" max="9" width="12.453125" style="91" hidden="1" customWidth="1"/>
    <col min="10" max="10" width="10.1796875" style="91" hidden="1" customWidth="1"/>
    <col min="11" max="11" width="12.453125" style="91" hidden="1" customWidth="1"/>
    <col min="12" max="12" width="15.453125" style="91" bestFit="1" customWidth="1"/>
    <col min="13" max="13" width="17" style="91" customWidth="1"/>
    <col min="14" max="14" width="14.26953125" style="91" customWidth="1"/>
    <col min="15" max="15" width="25.81640625" bestFit="1" customWidth="1"/>
    <col min="16" max="18" width="18" customWidth="1"/>
    <col min="19" max="19" width="17.1796875" customWidth="1"/>
    <col min="20" max="21" width="15.7265625" customWidth="1"/>
    <col min="22" max="22" width="15" customWidth="1"/>
    <col min="23" max="24" width="14.1796875" bestFit="1" customWidth="1"/>
    <col min="25" max="25" width="11.7265625" bestFit="1" customWidth="1"/>
    <col min="26" max="26" width="11.81640625" bestFit="1" customWidth="1"/>
    <col min="27" max="27" width="12.54296875" customWidth="1"/>
    <col min="28" max="28" width="11.26953125" customWidth="1"/>
    <col min="29" max="29" width="11.54296875" customWidth="1"/>
    <col min="30" max="30" width="9.26953125" customWidth="1"/>
    <col min="32" max="32" width="11.7265625" bestFit="1" customWidth="1"/>
    <col min="33" max="33" width="10.7265625" bestFit="1" customWidth="1"/>
  </cols>
  <sheetData>
    <row r="1" spans="1:20" x14ac:dyDescent="0.25">
      <c r="D1"/>
      <c r="E1"/>
      <c r="F1" s="172" t="s">
        <v>93</v>
      </c>
      <c r="G1" s="173"/>
      <c r="H1" s="173"/>
      <c r="I1" s="173"/>
      <c r="J1" s="173"/>
      <c r="K1" s="173"/>
    </row>
    <row r="2" spans="1:20" ht="42" customHeight="1" x14ac:dyDescent="0.25">
      <c r="B2" s="69" t="s">
        <v>0</v>
      </c>
      <c r="C2" s="63" t="s">
        <v>3</v>
      </c>
      <c r="D2" s="63" t="s">
        <v>19</v>
      </c>
      <c r="E2" s="63" t="s">
        <v>75</v>
      </c>
      <c r="F2" s="63" t="s">
        <v>4</v>
      </c>
      <c r="G2" s="64" t="s">
        <v>132</v>
      </c>
      <c r="H2" s="64" t="s">
        <v>6</v>
      </c>
      <c r="I2" s="63" t="s">
        <v>73</v>
      </c>
      <c r="J2" s="63" t="s">
        <v>5</v>
      </c>
      <c r="K2" s="63" t="s">
        <v>60</v>
      </c>
      <c r="L2" s="11" t="s">
        <v>11</v>
      </c>
      <c r="M2" s="11" t="s">
        <v>12</v>
      </c>
      <c r="N2" s="11" t="s">
        <v>13</v>
      </c>
      <c r="O2" t="s">
        <v>20</v>
      </c>
    </row>
    <row r="3" spans="1:20" ht="13" thickBot="1" x14ac:dyDescent="0.3">
      <c r="A3" s="3">
        <v>39083</v>
      </c>
      <c r="B3" s="25">
        <v>14119378</v>
      </c>
      <c r="C3" s="52">
        <v>1026.4999999999998</v>
      </c>
      <c r="D3" s="17">
        <v>0</v>
      </c>
      <c r="E3" s="83">
        <f>'Pulp Mill'!G81</f>
        <v>1</v>
      </c>
      <c r="F3" s="52">
        <v>0</v>
      </c>
      <c r="G3" s="25">
        <v>351.91199999999998</v>
      </c>
      <c r="H3" s="33">
        <v>137.552207546647</v>
      </c>
      <c r="I3" s="17">
        <f>'CDM Activity'!F31</f>
        <v>24223.732920078659</v>
      </c>
      <c r="J3" s="93">
        <v>31</v>
      </c>
      <c r="K3" s="17">
        <v>2732</v>
      </c>
      <c r="L3" s="10">
        <f>$P$18+C3*$P$19+D3*$P$20+E3*$P$21</f>
        <v>11156619.581822647</v>
      </c>
      <c r="M3" s="94">
        <f t="shared" ref="M3:M34" si="0">L3-B3</f>
        <v>-2962758.4181773532</v>
      </c>
      <c r="N3" s="169">
        <f t="shared" ref="N3:N34" si="1">ABS(M3/B3)</f>
        <v>0.20983632693857712</v>
      </c>
    </row>
    <row r="4" spans="1:20" ht="13" x14ac:dyDescent="0.3">
      <c r="A4" s="3">
        <v>39114</v>
      </c>
      <c r="B4" s="25">
        <v>10868916</v>
      </c>
      <c r="C4" s="52">
        <v>1025.0999999999999</v>
      </c>
      <c r="D4" s="17">
        <v>0</v>
      </c>
      <c r="E4" s="83">
        <f>'Pulp Mill'!G82</f>
        <v>1</v>
      </c>
      <c r="F4" s="52">
        <v>0</v>
      </c>
      <c r="G4" s="25">
        <v>319.87200000000001</v>
      </c>
      <c r="H4" s="33">
        <v>137.77938620066888</v>
      </c>
      <c r="I4" s="17">
        <f>'CDM Activity'!F32</f>
        <v>25774.588658781726</v>
      </c>
      <c r="J4" s="93">
        <v>28</v>
      </c>
      <c r="K4" s="17">
        <v>2730</v>
      </c>
      <c r="L4" s="10">
        <f t="shared" ref="L4:L67" si="2">$P$18+C4*$P$19+D4*$P$20+E4*$P$21</f>
        <v>11148920.065392569</v>
      </c>
      <c r="M4" s="94">
        <f t="shared" si="0"/>
        <v>280004.06539256871</v>
      </c>
      <c r="N4" s="169">
        <f t="shared" si="1"/>
        <v>2.576191272363948E-2</v>
      </c>
      <c r="O4" s="48" t="s">
        <v>21</v>
      </c>
      <c r="P4" s="48"/>
    </row>
    <row r="5" spans="1:20" x14ac:dyDescent="0.25">
      <c r="A5" s="3">
        <v>39142</v>
      </c>
      <c r="B5" s="25">
        <v>8892721</v>
      </c>
      <c r="C5" s="52">
        <v>730.4</v>
      </c>
      <c r="D5" s="17">
        <v>1</v>
      </c>
      <c r="E5" s="83">
        <f>'Pulp Mill'!G83</f>
        <v>1</v>
      </c>
      <c r="F5" s="52">
        <v>0</v>
      </c>
      <c r="G5" s="25">
        <v>351.91199999999998</v>
      </c>
      <c r="H5" s="33">
        <v>138.00694005870795</v>
      </c>
      <c r="I5" s="17">
        <f>'CDM Activity'!F33</f>
        <v>27325.444397484793</v>
      </c>
      <c r="J5" s="93">
        <v>31</v>
      </c>
      <c r="K5" s="17">
        <v>2730</v>
      </c>
      <c r="L5" s="10">
        <f t="shared" si="2"/>
        <v>8956303.3832328022</v>
      </c>
      <c r="M5" s="94">
        <f t="shared" si="0"/>
        <v>63582.383232802153</v>
      </c>
      <c r="N5" s="169">
        <f t="shared" si="1"/>
        <v>7.1499356870413627E-3</v>
      </c>
      <c r="O5" s="34" t="s">
        <v>22</v>
      </c>
      <c r="P5" s="51">
        <v>0.9010477208330141</v>
      </c>
    </row>
    <row r="6" spans="1:20" x14ac:dyDescent="0.25">
      <c r="A6" s="3">
        <v>39173</v>
      </c>
      <c r="B6" s="25">
        <v>7904780</v>
      </c>
      <c r="C6" s="52">
        <v>482.60000000000008</v>
      </c>
      <c r="D6" s="17">
        <v>1</v>
      </c>
      <c r="E6" s="83">
        <f>'Pulp Mill'!G84</f>
        <v>1</v>
      </c>
      <c r="F6" s="52">
        <v>0</v>
      </c>
      <c r="G6" s="25">
        <v>319.68</v>
      </c>
      <c r="H6" s="33">
        <v>138.23486974044414</v>
      </c>
      <c r="I6" s="17">
        <f>'CDM Activity'!F34</f>
        <v>28876.30013618786</v>
      </c>
      <c r="J6" s="93">
        <v>30</v>
      </c>
      <c r="K6" s="17">
        <v>2727</v>
      </c>
      <c r="L6" s="10">
        <f t="shared" si="2"/>
        <v>7593488.975108603</v>
      </c>
      <c r="M6" s="94">
        <f t="shared" si="0"/>
        <v>-311291.02489139698</v>
      </c>
      <c r="N6" s="169">
        <f t="shared" si="1"/>
        <v>3.9380099748683325E-2</v>
      </c>
      <c r="O6" s="34" t="s">
        <v>23</v>
      </c>
      <c r="P6" s="51">
        <v>0.81188699521836938</v>
      </c>
    </row>
    <row r="7" spans="1:20" x14ac:dyDescent="0.25">
      <c r="A7" s="3">
        <v>39203</v>
      </c>
      <c r="B7" s="25">
        <v>5870493</v>
      </c>
      <c r="C7" s="52">
        <v>191.00000000000003</v>
      </c>
      <c r="D7" s="17">
        <v>1</v>
      </c>
      <c r="E7" s="83">
        <f>'Pulp Mill'!G85</f>
        <v>1</v>
      </c>
      <c r="F7" s="52">
        <v>3.9</v>
      </c>
      <c r="G7" s="25">
        <v>351.91199999999998</v>
      </c>
      <c r="H7" s="33">
        <v>138.46317586658083</v>
      </c>
      <c r="I7" s="17">
        <f>'CDM Activity'!F35</f>
        <v>30427.155874890926</v>
      </c>
      <c r="J7" s="93">
        <v>31</v>
      </c>
      <c r="K7" s="17">
        <v>2719</v>
      </c>
      <c r="L7" s="10">
        <f t="shared" si="2"/>
        <v>5989789.6958147502</v>
      </c>
      <c r="M7" s="94">
        <f t="shared" si="0"/>
        <v>119296.69581475016</v>
      </c>
      <c r="N7" s="169">
        <f t="shared" si="1"/>
        <v>2.0321410112361969E-2</v>
      </c>
      <c r="O7" s="34" t="s">
        <v>24</v>
      </c>
      <c r="P7" s="51">
        <v>0.80867138829902518</v>
      </c>
    </row>
    <row r="8" spans="1:20" x14ac:dyDescent="0.25">
      <c r="A8" s="3">
        <v>39234</v>
      </c>
      <c r="B8" s="25">
        <v>5847586</v>
      </c>
      <c r="C8" s="52">
        <v>59.199999999999996</v>
      </c>
      <c r="D8" s="17">
        <v>0</v>
      </c>
      <c r="E8" s="83">
        <f>'Pulp Mill'!G86</f>
        <v>1</v>
      </c>
      <c r="F8" s="52">
        <v>39</v>
      </c>
      <c r="G8" s="25">
        <v>336.24</v>
      </c>
      <c r="H8" s="33">
        <v>138.69185905884657</v>
      </c>
      <c r="I8" s="17">
        <f>'CDM Activity'!F36</f>
        <v>31978.011613593993</v>
      </c>
      <c r="J8" s="93">
        <v>30</v>
      </c>
      <c r="K8" s="17">
        <v>2728</v>
      </c>
      <c r="L8" s="10">
        <f t="shared" si="2"/>
        <v>5836803.6940965056</v>
      </c>
      <c r="M8" s="94">
        <f t="shared" si="0"/>
        <v>-10782.305903494358</v>
      </c>
      <c r="N8" s="169">
        <f t="shared" si="1"/>
        <v>1.8438900947321439E-3</v>
      </c>
      <c r="O8" s="34" t="s">
        <v>25</v>
      </c>
      <c r="P8" s="50">
        <v>1011864.1538035827</v>
      </c>
    </row>
    <row r="9" spans="1:20" ht="13" thickBot="1" x14ac:dyDescent="0.3">
      <c r="A9" s="3">
        <v>39264</v>
      </c>
      <c r="B9" s="25">
        <v>6204926</v>
      </c>
      <c r="C9" s="52">
        <v>28</v>
      </c>
      <c r="D9" s="17">
        <v>0</v>
      </c>
      <c r="E9" s="83">
        <f>'Pulp Mill'!G87</f>
        <v>1</v>
      </c>
      <c r="F9" s="52">
        <v>85.600000000000009</v>
      </c>
      <c r="G9" s="25">
        <v>336.28800000000001</v>
      </c>
      <c r="H9" s="33">
        <v>138.92091993999671</v>
      </c>
      <c r="I9" s="17">
        <f>'CDM Activity'!F37</f>
        <v>33528.867352297064</v>
      </c>
      <c r="J9" s="93">
        <v>31</v>
      </c>
      <c r="K9" s="17">
        <v>2728</v>
      </c>
      <c r="L9" s="10">
        <f t="shared" si="2"/>
        <v>5665214.4707975751</v>
      </c>
      <c r="M9" s="94">
        <f t="shared" si="0"/>
        <v>-539711.52920242492</v>
      </c>
      <c r="N9" s="169">
        <f t="shared" si="1"/>
        <v>8.6981138727911494E-2</v>
      </c>
      <c r="O9" s="46" t="s">
        <v>26</v>
      </c>
      <c r="P9" s="46">
        <v>120</v>
      </c>
    </row>
    <row r="10" spans="1:20" x14ac:dyDescent="0.25">
      <c r="A10" s="3">
        <v>39295</v>
      </c>
      <c r="B10" s="25">
        <v>5861607</v>
      </c>
      <c r="C10" s="52">
        <v>62.800000000000004</v>
      </c>
      <c r="D10" s="17">
        <v>0</v>
      </c>
      <c r="E10" s="83">
        <f>'Pulp Mill'!G88</f>
        <v>1</v>
      </c>
      <c r="F10" s="52">
        <v>31.199999999999996</v>
      </c>
      <c r="G10" s="25">
        <v>351.91199999999998</v>
      </c>
      <c r="H10" s="33">
        <v>139.15035913381516</v>
      </c>
      <c r="I10" s="17">
        <f>'CDM Activity'!F38</f>
        <v>35079.723091000131</v>
      </c>
      <c r="J10" s="93">
        <v>31</v>
      </c>
      <c r="K10" s="17">
        <v>2744</v>
      </c>
      <c r="L10" s="10">
        <f t="shared" si="2"/>
        <v>5856602.4506309982</v>
      </c>
      <c r="M10" s="94">
        <f t="shared" si="0"/>
        <v>-5004.5493690017611</v>
      </c>
      <c r="N10" s="169">
        <f t="shared" si="1"/>
        <v>8.5378452854341152E-4</v>
      </c>
    </row>
    <row r="11" spans="1:20" ht="13" thickBot="1" x14ac:dyDescent="0.3">
      <c r="A11" s="3">
        <v>39326</v>
      </c>
      <c r="B11" s="25">
        <v>6506948</v>
      </c>
      <c r="C11" s="52">
        <v>172.49999999999997</v>
      </c>
      <c r="D11" s="17">
        <v>1</v>
      </c>
      <c r="E11" s="83">
        <f>'Pulp Mill'!G89</f>
        <v>1</v>
      </c>
      <c r="F11" s="52">
        <v>3.6</v>
      </c>
      <c r="G11" s="25">
        <v>303.83999999999997</v>
      </c>
      <c r="H11" s="33">
        <v>139.38017726511606</v>
      </c>
      <c r="I11" s="17">
        <f>'CDM Activity'!F39</f>
        <v>36630.578829703198</v>
      </c>
      <c r="J11" s="93">
        <v>30</v>
      </c>
      <c r="K11" s="17">
        <v>2738</v>
      </c>
      <c r="L11" s="10">
        <f t="shared" si="2"/>
        <v>5888046.0858458318</v>
      </c>
      <c r="M11" s="94">
        <f t="shared" si="0"/>
        <v>-618901.91415416822</v>
      </c>
      <c r="N11" s="169">
        <f t="shared" si="1"/>
        <v>9.5114009540904307E-2</v>
      </c>
      <c r="O11" t="s">
        <v>27</v>
      </c>
    </row>
    <row r="12" spans="1:20" ht="13" x14ac:dyDescent="0.3">
      <c r="A12" s="3">
        <v>39356</v>
      </c>
      <c r="B12" s="25">
        <v>6984955</v>
      </c>
      <c r="C12" s="52">
        <v>361.39999999999992</v>
      </c>
      <c r="D12" s="17">
        <v>1</v>
      </c>
      <c r="E12" s="83">
        <f>'Pulp Mill'!G90</f>
        <v>1</v>
      </c>
      <c r="F12" s="52">
        <v>0</v>
      </c>
      <c r="G12" s="25">
        <v>351.91199999999998</v>
      </c>
      <c r="H12" s="33">
        <v>139.61037495974546</v>
      </c>
      <c r="I12" s="17">
        <f>'CDM Activity'!F40</f>
        <v>38181.434568406265</v>
      </c>
      <c r="J12" s="93">
        <v>31</v>
      </c>
      <c r="K12" s="17">
        <v>2759</v>
      </c>
      <c r="L12" s="10">
        <f t="shared" si="2"/>
        <v>6926930.8384473706</v>
      </c>
      <c r="M12" s="94">
        <f t="shared" si="0"/>
        <v>-58024.161552629434</v>
      </c>
      <c r="N12" s="169">
        <f t="shared" si="1"/>
        <v>8.3070200957099122E-3</v>
      </c>
      <c r="O12" s="47"/>
      <c r="P12" s="47" t="s">
        <v>31</v>
      </c>
      <c r="Q12" s="47" t="s">
        <v>32</v>
      </c>
      <c r="R12" s="47" t="s">
        <v>33</v>
      </c>
      <c r="S12" s="47" t="s">
        <v>34</v>
      </c>
      <c r="T12" s="47" t="s">
        <v>35</v>
      </c>
    </row>
    <row r="13" spans="1:20" x14ac:dyDescent="0.25">
      <c r="A13" s="3">
        <v>39387</v>
      </c>
      <c r="B13" s="25">
        <v>8001392</v>
      </c>
      <c r="C13" s="52">
        <v>696.4</v>
      </c>
      <c r="D13" s="17">
        <v>1</v>
      </c>
      <c r="E13" s="83">
        <f>'Pulp Mill'!G91</f>
        <v>1</v>
      </c>
      <c r="F13" s="52">
        <v>0</v>
      </c>
      <c r="G13" s="25">
        <v>352.08</v>
      </c>
      <c r="H13" s="33">
        <v>139.84095284458306</v>
      </c>
      <c r="I13" s="17">
        <f>'CDM Activity'!F41</f>
        <v>39732.290307109331</v>
      </c>
      <c r="J13" s="93">
        <v>30</v>
      </c>
      <c r="K13" s="17">
        <v>2750</v>
      </c>
      <c r="L13" s="10">
        <f t="shared" si="2"/>
        <v>8769315.1270737108</v>
      </c>
      <c r="M13" s="94">
        <f t="shared" si="0"/>
        <v>767923.12707371078</v>
      </c>
      <c r="N13" s="169">
        <f t="shared" si="1"/>
        <v>9.5973691461899477E-2</v>
      </c>
      <c r="O13" s="34" t="s">
        <v>28</v>
      </c>
      <c r="P13" s="34">
        <v>2</v>
      </c>
      <c r="Q13" s="34">
        <v>517019648322253.88</v>
      </c>
      <c r="R13" s="34">
        <v>258509824161126.94</v>
      </c>
      <c r="S13" s="34">
        <v>252.48328405263211</v>
      </c>
      <c r="T13" s="34">
        <v>3.5768522782188399E-43</v>
      </c>
    </row>
    <row r="14" spans="1:20" x14ac:dyDescent="0.25">
      <c r="A14" s="3">
        <v>39417</v>
      </c>
      <c r="B14" s="25">
        <v>6821178</v>
      </c>
      <c r="C14" s="52">
        <v>1033.7</v>
      </c>
      <c r="D14" s="17">
        <v>0</v>
      </c>
      <c r="E14" s="83">
        <f>'Pulp Mill'!G92</f>
        <v>0</v>
      </c>
      <c r="F14" s="52">
        <v>0</v>
      </c>
      <c r="G14" s="25">
        <v>304.29599999999999</v>
      </c>
      <c r="H14" s="33">
        <v>140.07191154754381</v>
      </c>
      <c r="I14" s="17">
        <f>'CDM Activity'!F42</f>
        <v>41283.146045812398</v>
      </c>
      <c r="J14" s="93">
        <v>31</v>
      </c>
      <c r="K14" s="17">
        <v>2755</v>
      </c>
      <c r="L14" s="10">
        <f t="shared" si="2"/>
        <v>9663793.1326993164</v>
      </c>
      <c r="M14" s="94">
        <f t="shared" si="0"/>
        <v>2842615.1326993164</v>
      </c>
      <c r="N14" s="169">
        <f t="shared" si="1"/>
        <v>0.41673375664721202</v>
      </c>
      <c r="O14" s="34" t="s">
        <v>29</v>
      </c>
      <c r="P14" s="34">
        <v>117</v>
      </c>
      <c r="Q14" s="34">
        <v>119792680693058.91</v>
      </c>
      <c r="R14" s="34">
        <v>1023869065752.6403</v>
      </c>
      <c r="S14" s="34"/>
      <c r="T14" s="34"/>
    </row>
    <row r="15" spans="1:20" ht="13" thickBot="1" x14ac:dyDescent="0.3">
      <c r="A15" s="3">
        <v>39448</v>
      </c>
      <c r="B15" s="17">
        <v>11503910</v>
      </c>
      <c r="C15" s="65">
        <v>1044.3999999999996</v>
      </c>
      <c r="D15" s="17">
        <v>0</v>
      </c>
      <c r="E15" s="83">
        <f>'Pulp Mill'!G93</f>
        <v>0</v>
      </c>
      <c r="F15" s="52">
        <v>0</v>
      </c>
      <c r="G15" s="95">
        <v>352</v>
      </c>
      <c r="H15" s="31">
        <v>139.96642175819056</v>
      </c>
      <c r="I15" s="17">
        <f>'CDM Activity'!F43</f>
        <v>41742.576765102007</v>
      </c>
      <c r="J15" s="93">
        <v>31</v>
      </c>
      <c r="K15" s="17">
        <v>2749</v>
      </c>
      <c r="L15" s="10">
        <f t="shared" si="2"/>
        <v>9722639.4368434995</v>
      </c>
      <c r="M15" s="94">
        <f t="shared" si="0"/>
        <v>-1781270.5631565005</v>
      </c>
      <c r="N15" s="169">
        <f t="shared" si="1"/>
        <v>0.15484044669651453</v>
      </c>
      <c r="O15" s="46" t="s">
        <v>10</v>
      </c>
      <c r="P15" s="46">
        <v>119</v>
      </c>
      <c r="Q15" s="46">
        <v>636812329015312.75</v>
      </c>
      <c r="R15" s="46"/>
      <c r="S15" s="46"/>
      <c r="T15" s="46"/>
    </row>
    <row r="16" spans="1:20" ht="13" thickBot="1" x14ac:dyDescent="0.3">
      <c r="A16" s="3">
        <v>39479</v>
      </c>
      <c r="B16" s="17">
        <v>9208890</v>
      </c>
      <c r="C16" s="65">
        <v>1016.0999999999999</v>
      </c>
      <c r="D16" s="17">
        <v>0</v>
      </c>
      <c r="E16" s="83">
        <f>'Pulp Mill'!G94</f>
        <v>0</v>
      </c>
      <c r="F16" s="52">
        <v>0</v>
      </c>
      <c r="G16" s="95">
        <v>320</v>
      </c>
      <c r="H16" s="31">
        <v>139.86101141442734</v>
      </c>
      <c r="I16" s="17">
        <f>'CDM Activity'!F44</f>
        <v>42202.007484391615</v>
      </c>
      <c r="J16" s="93">
        <v>29</v>
      </c>
      <c r="K16" s="17">
        <v>2749</v>
      </c>
      <c r="L16" s="10">
        <f t="shared" si="2"/>
        <v>9566999.2118640207</v>
      </c>
      <c r="M16" s="94">
        <f t="shared" si="0"/>
        <v>358109.21186402068</v>
      </c>
      <c r="N16" s="169">
        <f t="shared" si="1"/>
        <v>3.8887337329908456E-2</v>
      </c>
    </row>
    <row r="17" spans="1:33" ht="13" x14ac:dyDescent="0.3">
      <c r="A17" s="3">
        <v>39508</v>
      </c>
      <c r="B17" s="17">
        <v>7671793</v>
      </c>
      <c r="C17" s="65">
        <v>848.90000000000009</v>
      </c>
      <c r="D17" s="17">
        <v>1</v>
      </c>
      <c r="E17" s="83">
        <f>'Pulp Mill'!G95</f>
        <v>0</v>
      </c>
      <c r="F17" s="52">
        <v>0</v>
      </c>
      <c r="G17" s="95">
        <v>304</v>
      </c>
      <c r="H17" s="31">
        <v>139.75568045642274</v>
      </c>
      <c r="I17" s="17">
        <f>'CDM Activity'!F45</f>
        <v>42661.438203681224</v>
      </c>
      <c r="J17" s="93">
        <v>31</v>
      </c>
      <c r="K17" s="17">
        <v>2739</v>
      </c>
      <c r="L17" s="10">
        <f t="shared" si="2"/>
        <v>8075588.4903008454</v>
      </c>
      <c r="M17" s="94">
        <f t="shared" si="0"/>
        <v>403795.49030084535</v>
      </c>
      <c r="N17" s="169">
        <f t="shared" si="1"/>
        <v>5.2633783302136194E-2</v>
      </c>
      <c r="O17" s="47"/>
      <c r="P17" s="47" t="s">
        <v>36</v>
      </c>
      <c r="Q17" s="47" t="s">
        <v>25</v>
      </c>
      <c r="R17" s="47" t="s">
        <v>37</v>
      </c>
      <c r="S17" s="47" t="s">
        <v>38</v>
      </c>
      <c r="T17" s="47" t="s">
        <v>39</v>
      </c>
      <c r="U17" s="47" t="s">
        <v>40</v>
      </c>
    </row>
    <row r="18" spans="1:33" x14ac:dyDescent="0.25">
      <c r="A18" s="3">
        <v>39539</v>
      </c>
      <c r="B18" s="17">
        <v>5764075</v>
      </c>
      <c r="C18" s="65">
        <v>505.9</v>
      </c>
      <c r="D18" s="17">
        <v>1</v>
      </c>
      <c r="E18" s="83">
        <f>'Pulp Mill'!G96</f>
        <v>0</v>
      </c>
      <c r="F18" s="52">
        <v>0</v>
      </c>
      <c r="G18" s="95">
        <v>352</v>
      </c>
      <c r="H18" s="31">
        <v>139.65042882439042</v>
      </c>
      <c r="I18" s="17">
        <f>'CDM Activity'!F46</f>
        <v>43120.868922970833</v>
      </c>
      <c r="J18" s="93">
        <v>30</v>
      </c>
      <c r="K18" s="17">
        <v>2740</v>
      </c>
      <c r="L18" s="10">
        <f t="shared" si="2"/>
        <v>6189206.9649311909</v>
      </c>
      <c r="M18" s="94">
        <f t="shared" si="0"/>
        <v>425131.96493119095</v>
      </c>
      <c r="N18" s="169">
        <f t="shared" si="1"/>
        <v>7.3755453378242117E-2</v>
      </c>
      <c r="O18" s="34" t="s">
        <v>30</v>
      </c>
      <c r="P18" s="50">
        <v>3978800.1800036533</v>
      </c>
      <c r="Q18" s="50">
        <v>213710.13717825036</v>
      </c>
      <c r="R18" s="66">
        <v>18.617741921549722</v>
      </c>
      <c r="S18" s="34">
        <v>1.2183385908669906E-36</v>
      </c>
      <c r="T18" s="50">
        <v>3555520.3253193116</v>
      </c>
      <c r="U18" s="50">
        <v>4402080.034687995</v>
      </c>
    </row>
    <row r="19" spans="1:33" x14ac:dyDescent="0.25">
      <c r="A19" s="3">
        <v>39569</v>
      </c>
      <c r="B19" s="17">
        <v>5252521</v>
      </c>
      <c r="C19" s="65">
        <v>341.79999999999995</v>
      </c>
      <c r="D19" s="17">
        <v>1</v>
      </c>
      <c r="E19" s="83">
        <f>'Pulp Mill'!G97</f>
        <v>0</v>
      </c>
      <c r="F19" s="52">
        <v>0</v>
      </c>
      <c r="G19" s="95">
        <v>336</v>
      </c>
      <c r="H19" s="31">
        <v>139.54525645858905</v>
      </c>
      <c r="I19" s="17">
        <f>'CDM Activity'!F47</f>
        <v>43580.299642260441</v>
      </c>
      <c r="J19" s="93">
        <v>31</v>
      </c>
      <c r="K19" s="17">
        <v>2734</v>
      </c>
      <c r="L19" s="10">
        <f t="shared" si="2"/>
        <v>5286713.6462339303</v>
      </c>
      <c r="M19" s="94">
        <f t="shared" si="0"/>
        <v>34192.646233930252</v>
      </c>
      <c r="N19" s="169">
        <f t="shared" si="1"/>
        <v>6.5097590726301245E-3</v>
      </c>
      <c r="O19" s="34" t="s">
        <v>3</v>
      </c>
      <c r="P19" s="50">
        <v>5499.6545929144459</v>
      </c>
      <c r="Q19" s="50">
        <v>252.7150731676366</v>
      </c>
      <c r="R19" s="66">
        <v>21.762273709990748</v>
      </c>
      <c r="S19" s="34">
        <v>9.1585831966524567E-43</v>
      </c>
      <c r="T19" s="50">
        <v>4999.1205477852736</v>
      </c>
      <c r="U19" s="50">
        <v>6000.1886380436181</v>
      </c>
    </row>
    <row r="20" spans="1:33" x14ac:dyDescent="0.25">
      <c r="A20" s="3">
        <v>39600</v>
      </c>
      <c r="B20" s="17">
        <v>5368685</v>
      </c>
      <c r="C20" s="65">
        <v>104.60000000000002</v>
      </c>
      <c r="D20" s="17">
        <v>0</v>
      </c>
      <c r="E20" s="83">
        <f>'Pulp Mill'!G98</f>
        <v>1</v>
      </c>
      <c r="F20" s="65">
        <v>5.4</v>
      </c>
      <c r="G20" s="95">
        <v>336</v>
      </c>
      <c r="H20" s="31">
        <v>139.44016329932234</v>
      </c>
      <c r="I20" s="17">
        <f>'CDM Activity'!F48</f>
        <v>44039.73036155005</v>
      </c>
      <c r="J20" s="93">
        <v>30</v>
      </c>
      <c r="K20" s="17">
        <v>2753</v>
      </c>
      <c r="L20" s="10">
        <f t="shared" si="2"/>
        <v>6086488.012614822</v>
      </c>
      <c r="M20" s="94">
        <f t="shared" si="0"/>
        <v>717803.01261482202</v>
      </c>
      <c r="N20" s="169">
        <f t="shared" si="1"/>
        <v>0.13370183063726443</v>
      </c>
      <c r="O20" s="34" t="s">
        <v>19</v>
      </c>
      <c r="P20" s="50">
        <v>-571868.47362787987</v>
      </c>
      <c r="Q20" s="50">
        <v>189816.49556629173</v>
      </c>
      <c r="R20" s="66">
        <v>-3.0127438182956015</v>
      </c>
      <c r="S20" s="34">
        <v>3.1791906094424463E-3</v>
      </c>
      <c r="T20" s="50">
        <v>-947823.9604421379</v>
      </c>
      <c r="U20" s="50">
        <v>-195912.98681362189</v>
      </c>
    </row>
    <row r="21" spans="1:33" ht="13" thickBot="1" x14ac:dyDescent="0.3">
      <c r="A21" s="3">
        <v>39630</v>
      </c>
      <c r="B21" s="17">
        <v>5788420</v>
      </c>
      <c r="C21" s="65">
        <v>40.899999999999991</v>
      </c>
      <c r="D21" s="17">
        <v>0</v>
      </c>
      <c r="E21" s="83">
        <f>'Pulp Mill'!G99</f>
        <v>1</v>
      </c>
      <c r="F21" s="65">
        <v>23.2</v>
      </c>
      <c r="G21" s="95">
        <v>352</v>
      </c>
      <c r="H21" s="31">
        <v>139.3351492869389</v>
      </c>
      <c r="I21" s="17">
        <f>'CDM Activity'!F49</f>
        <v>44499.161080839658</v>
      </c>
      <c r="J21" s="93">
        <v>31</v>
      </c>
      <c r="K21" s="17">
        <v>2749</v>
      </c>
      <c r="L21" s="10">
        <f t="shared" si="2"/>
        <v>5736160.0150461718</v>
      </c>
      <c r="M21" s="94">
        <f t="shared" si="0"/>
        <v>-52259.984953828156</v>
      </c>
      <c r="N21" s="169">
        <f t="shared" si="1"/>
        <v>9.0283678367893416E-3</v>
      </c>
      <c r="O21" s="46" t="s">
        <v>75</v>
      </c>
      <c r="P21" s="84">
        <v>1532423.9621923177</v>
      </c>
      <c r="Q21" s="84">
        <v>271117.84139344393</v>
      </c>
      <c r="R21" s="62">
        <v>5.6522431512298628</v>
      </c>
      <c r="S21" s="46">
        <v>1.1518355049312375E-7</v>
      </c>
      <c r="T21" s="84">
        <v>995440.9157978833</v>
      </c>
      <c r="U21" s="84">
        <v>2069407.0085867522</v>
      </c>
    </row>
    <row r="22" spans="1:33" x14ac:dyDescent="0.25">
      <c r="A22" s="3">
        <v>39661</v>
      </c>
      <c r="B22" s="17">
        <v>5783724</v>
      </c>
      <c r="C22" s="65">
        <v>24.800000000000004</v>
      </c>
      <c r="D22" s="17">
        <v>0</v>
      </c>
      <c r="E22" s="83">
        <f>'Pulp Mill'!G100</f>
        <v>1</v>
      </c>
      <c r="F22" s="65">
        <v>49.1</v>
      </c>
      <c r="G22" s="95">
        <v>320</v>
      </c>
      <c r="H22" s="31">
        <v>139.23021436183228</v>
      </c>
      <c r="I22" s="17">
        <f>'CDM Activity'!F50</f>
        <v>44958.591800129267</v>
      </c>
      <c r="J22" s="93">
        <v>31</v>
      </c>
      <c r="K22" s="17">
        <v>2756</v>
      </c>
      <c r="L22" s="10">
        <f t="shared" si="2"/>
        <v>5647615.5761002488</v>
      </c>
      <c r="M22" s="94">
        <f t="shared" si="0"/>
        <v>-136108.42389975116</v>
      </c>
      <c r="N22" s="169">
        <f t="shared" si="1"/>
        <v>2.3533008127592389E-2</v>
      </c>
    </row>
    <row r="23" spans="1:33" x14ac:dyDescent="0.25">
      <c r="A23" s="3">
        <v>39692</v>
      </c>
      <c r="B23" s="17">
        <v>4776645</v>
      </c>
      <c r="C23" s="65">
        <v>175.80000000000004</v>
      </c>
      <c r="D23" s="17">
        <v>1</v>
      </c>
      <c r="E23" s="83">
        <f>'Pulp Mill'!G101</f>
        <v>1</v>
      </c>
      <c r="F23" s="65">
        <v>7.8</v>
      </c>
      <c r="G23" s="95">
        <v>336</v>
      </c>
      <c r="H23" s="31">
        <v>139.12535846444095</v>
      </c>
      <c r="I23" s="17">
        <f>'CDM Activity'!F51</f>
        <v>45418.022519418875</v>
      </c>
      <c r="J23" s="93">
        <v>30</v>
      </c>
      <c r="K23" s="17">
        <v>2750</v>
      </c>
      <c r="L23" s="10">
        <f t="shared" si="2"/>
        <v>5906194.9460024498</v>
      </c>
      <c r="M23" s="94">
        <f t="shared" si="0"/>
        <v>1129549.9460024498</v>
      </c>
      <c r="N23" s="169">
        <f t="shared" si="1"/>
        <v>0.23647349677492252</v>
      </c>
    </row>
    <row r="24" spans="1:33" x14ac:dyDescent="0.25">
      <c r="A24" s="3">
        <v>39722</v>
      </c>
      <c r="B24" s="17">
        <v>5371779</v>
      </c>
      <c r="C24" s="65">
        <v>384</v>
      </c>
      <c r="D24" s="17">
        <v>1</v>
      </c>
      <c r="E24" s="83">
        <f>'Pulp Mill'!G102</f>
        <v>0</v>
      </c>
      <c r="F24" s="52">
        <v>0</v>
      </c>
      <c r="G24" s="95">
        <v>352</v>
      </c>
      <c r="H24" s="31">
        <v>139.02058153524823</v>
      </c>
      <c r="I24" s="17">
        <f>'CDM Activity'!F52</f>
        <v>45877.453238708484</v>
      </c>
      <c r="J24" s="93">
        <v>31</v>
      </c>
      <c r="K24" s="17">
        <v>2763</v>
      </c>
      <c r="L24" s="10">
        <f t="shared" si="2"/>
        <v>5518799.0700549204</v>
      </c>
      <c r="M24" s="94">
        <f t="shared" si="0"/>
        <v>147020.07005492039</v>
      </c>
      <c r="N24" s="169">
        <f t="shared" si="1"/>
        <v>2.7368972188714463E-2</v>
      </c>
    </row>
    <row r="25" spans="1:33" x14ac:dyDescent="0.25">
      <c r="A25" s="3">
        <v>39753</v>
      </c>
      <c r="B25" s="17">
        <v>8111934</v>
      </c>
      <c r="C25" s="65">
        <v>674.5999999999998</v>
      </c>
      <c r="D25" s="17">
        <v>1</v>
      </c>
      <c r="E25" s="83">
        <f>'Pulp Mill'!G103</f>
        <v>0</v>
      </c>
      <c r="F25" s="52">
        <v>0</v>
      </c>
      <c r="G25" s="95">
        <v>304</v>
      </c>
      <c r="H25" s="31">
        <v>138.91588351478222</v>
      </c>
      <c r="I25" s="17">
        <f>'CDM Activity'!F53</f>
        <v>46336.883957998092</v>
      </c>
      <c r="J25" s="93">
        <v>30</v>
      </c>
      <c r="K25" s="17">
        <v>2758</v>
      </c>
      <c r="L25" s="10">
        <f t="shared" si="2"/>
        <v>7116998.6947558578</v>
      </c>
      <c r="M25" s="94">
        <f t="shared" si="0"/>
        <v>-994935.30524414219</v>
      </c>
      <c r="N25" s="169">
        <f t="shared" si="1"/>
        <v>0.12265081363385627</v>
      </c>
    </row>
    <row r="26" spans="1:33" x14ac:dyDescent="0.25">
      <c r="A26" s="3">
        <v>39783</v>
      </c>
      <c r="B26" s="17">
        <v>7265099</v>
      </c>
      <c r="C26" s="65">
        <v>1168.6000000000001</v>
      </c>
      <c r="D26" s="17">
        <v>0</v>
      </c>
      <c r="E26" s="83">
        <f>'Pulp Mill'!G104</f>
        <v>0</v>
      </c>
      <c r="F26" s="52">
        <v>0</v>
      </c>
      <c r="G26" s="95">
        <v>336</v>
      </c>
      <c r="H26" s="31">
        <v>138.8112643436159</v>
      </c>
      <c r="I26" s="17">
        <f>'CDM Activity'!F54</f>
        <v>46796.314677287701</v>
      </c>
      <c r="J26" s="93">
        <v>31</v>
      </c>
      <c r="K26" s="17">
        <v>2735</v>
      </c>
      <c r="L26" s="10">
        <f t="shared" si="2"/>
        <v>10405696.537283476</v>
      </c>
      <c r="M26" s="94">
        <f t="shared" si="0"/>
        <v>3140597.5372834764</v>
      </c>
      <c r="N26" s="169">
        <f t="shared" si="1"/>
        <v>0.43228558031810393</v>
      </c>
    </row>
    <row r="27" spans="1:33" s="14" customFormat="1" x14ac:dyDescent="0.25">
      <c r="A27" s="3">
        <v>39814</v>
      </c>
      <c r="B27" s="25">
        <v>12089350</v>
      </c>
      <c r="C27" s="65">
        <v>1173.7999999999997</v>
      </c>
      <c r="D27" s="17">
        <v>0</v>
      </c>
      <c r="E27" s="83">
        <f>'Pulp Mill'!G105</f>
        <v>0</v>
      </c>
      <c r="F27" s="52">
        <v>0</v>
      </c>
      <c r="G27" s="95">
        <v>336</v>
      </c>
      <c r="H27" s="31">
        <v>138.43555825854429</v>
      </c>
      <c r="I27" s="17">
        <f>'CDM Activity'!F55</f>
        <v>49681.704876611417</v>
      </c>
      <c r="J27" s="93">
        <v>31</v>
      </c>
      <c r="K27" s="17">
        <v>2733</v>
      </c>
      <c r="L27" s="10">
        <f t="shared" si="2"/>
        <v>10434294.741166629</v>
      </c>
      <c r="M27" s="94">
        <f t="shared" si="0"/>
        <v>-1655055.2588333711</v>
      </c>
      <c r="N27" s="169">
        <f t="shared" si="1"/>
        <v>0.13690192267023216</v>
      </c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 x14ac:dyDescent="0.25">
      <c r="A28" s="3">
        <v>39845</v>
      </c>
      <c r="B28" s="25">
        <v>8873805</v>
      </c>
      <c r="C28" s="65">
        <v>890.3</v>
      </c>
      <c r="D28" s="17">
        <v>0</v>
      </c>
      <c r="E28" s="83">
        <f>'Pulp Mill'!G106</f>
        <v>0</v>
      </c>
      <c r="F28" s="52">
        <v>0</v>
      </c>
      <c r="G28" s="95">
        <v>304</v>
      </c>
      <c r="H28" s="31">
        <v>138.06086905825526</v>
      </c>
      <c r="I28" s="17">
        <f>'CDM Activity'!F56</f>
        <v>52567.095075935133</v>
      </c>
      <c r="J28" s="93">
        <v>28</v>
      </c>
      <c r="K28" s="17">
        <v>2733</v>
      </c>
      <c r="L28" s="10">
        <f t="shared" si="2"/>
        <v>8875142.6640753839</v>
      </c>
      <c r="M28" s="94">
        <f t="shared" si="0"/>
        <v>1337.6640753839165</v>
      </c>
      <c r="N28" s="169">
        <f t="shared" si="1"/>
        <v>1.5074300994713277E-4</v>
      </c>
    </row>
    <row r="29" spans="1:33" x14ac:dyDescent="0.25">
      <c r="A29" s="3">
        <v>39873</v>
      </c>
      <c r="B29" s="25">
        <v>6938222</v>
      </c>
      <c r="C29" s="65">
        <v>785.60000000000025</v>
      </c>
      <c r="D29" s="17">
        <v>1</v>
      </c>
      <c r="E29" s="83">
        <f>'Pulp Mill'!G107</f>
        <v>0</v>
      </c>
      <c r="F29" s="52">
        <v>0</v>
      </c>
      <c r="G29" s="95">
        <v>352</v>
      </c>
      <c r="H29" s="31">
        <v>137.68719399045199</v>
      </c>
      <c r="I29" s="17">
        <f>'CDM Activity'!F57</f>
        <v>55452.485275258849</v>
      </c>
      <c r="J29" s="93">
        <v>31</v>
      </c>
      <c r="K29" s="17">
        <v>2741</v>
      </c>
      <c r="L29" s="10">
        <f t="shared" si="2"/>
        <v>7727460.3545693634</v>
      </c>
      <c r="M29" s="94">
        <f t="shared" si="0"/>
        <v>789238.35456936341</v>
      </c>
      <c r="N29" s="169">
        <f t="shared" si="1"/>
        <v>0.11375224871290705</v>
      </c>
    </row>
    <row r="30" spans="1:33" x14ac:dyDescent="0.25">
      <c r="A30" s="3">
        <v>39904</v>
      </c>
      <c r="B30" s="25">
        <v>5637576</v>
      </c>
      <c r="C30" s="65">
        <v>465.4</v>
      </c>
      <c r="D30" s="17">
        <v>1</v>
      </c>
      <c r="E30" s="83">
        <f>'Pulp Mill'!G108</f>
        <v>0</v>
      </c>
      <c r="F30" s="52">
        <v>0</v>
      </c>
      <c r="G30" s="95">
        <v>320</v>
      </c>
      <c r="H30" s="31">
        <v>137.31453031028698</v>
      </c>
      <c r="I30" s="17">
        <f>'CDM Activity'!F58</f>
        <v>58337.875474582564</v>
      </c>
      <c r="J30" s="93">
        <v>30</v>
      </c>
      <c r="K30" s="17">
        <v>2731</v>
      </c>
      <c r="L30" s="10">
        <f t="shared" si="2"/>
        <v>5966470.9539181562</v>
      </c>
      <c r="M30" s="94">
        <f t="shared" si="0"/>
        <v>328894.95391815621</v>
      </c>
      <c r="N30" s="169">
        <f t="shared" si="1"/>
        <v>5.8339781834986566E-2</v>
      </c>
    </row>
    <row r="31" spans="1:33" x14ac:dyDescent="0.25">
      <c r="A31" s="3">
        <v>39934</v>
      </c>
      <c r="B31" s="25">
        <v>5455495</v>
      </c>
      <c r="C31" s="65">
        <v>344</v>
      </c>
      <c r="D31" s="17">
        <v>1</v>
      </c>
      <c r="E31" s="83">
        <f>'Pulp Mill'!G109</f>
        <v>0</v>
      </c>
      <c r="F31" s="52">
        <v>0</v>
      </c>
      <c r="G31" s="95">
        <v>320</v>
      </c>
      <c r="H31" s="31">
        <v>136.94287528034204</v>
      </c>
      <c r="I31" s="17">
        <f>'CDM Activity'!F59</f>
        <v>61223.26567390628</v>
      </c>
      <c r="J31" s="93">
        <v>31</v>
      </c>
      <c r="K31" s="17">
        <v>2757</v>
      </c>
      <c r="L31" s="10">
        <f t="shared" si="2"/>
        <v>5298812.886338342</v>
      </c>
      <c r="M31" s="94">
        <f t="shared" si="0"/>
        <v>-156682.11366165802</v>
      </c>
      <c r="N31" s="169">
        <f t="shared" si="1"/>
        <v>2.8720054488485101E-2</v>
      </c>
    </row>
    <row r="32" spans="1:33" x14ac:dyDescent="0.25">
      <c r="A32" s="3">
        <v>39965</v>
      </c>
      <c r="B32" s="25">
        <v>4330246</v>
      </c>
      <c r="C32" s="65">
        <v>124.10000000000001</v>
      </c>
      <c r="D32" s="17">
        <v>0</v>
      </c>
      <c r="E32" s="83">
        <f>'Pulp Mill'!G110</f>
        <v>0</v>
      </c>
      <c r="F32" s="65">
        <v>31.599999999999994</v>
      </c>
      <c r="G32" s="95">
        <v>352</v>
      </c>
      <c r="H32" s="31">
        <v>136.57222617060793</v>
      </c>
      <c r="I32" s="17">
        <f>'CDM Activity'!F60</f>
        <v>64108.655873229996</v>
      </c>
      <c r="J32" s="93">
        <v>30</v>
      </c>
      <c r="K32" s="17">
        <v>2737</v>
      </c>
      <c r="L32" s="10">
        <f t="shared" si="2"/>
        <v>4661307.3149843365</v>
      </c>
      <c r="M32" s="94">
        <f t="shared" si="0"/>
        <v>331061.3149843365</v>
      </c>
      <c r="N32" s="169">
        <f t="shared" si="1"/>
        <v>7.6453234985803697E-2</v>
      </c>
    </row>
    <row r="33" spans="1:33" x14ac:dyDescent="0.25">
      <c r="A33" s="3">
        <v>39995</v>
      </c>
      <c r="B33" s="25">
        <v>4381937</v>
      </c>
      <c r="C33" s="65">
        <v>72.3</v>
      </c>
      <c r="D33" s="17">
        <v>0</v>
      </c>
      <c r="E33" s="83">
        <f>'Pulp Mill'!G111</f>
        <v>0</v>
      </c>
      <c r="F33" s="65">
        <v>1.6</v>
      </c>
      <c r="G33" s="95">
        <v>352</v>
      </c>
      <c r="H33" s="31">
        <v>136.20258025846454</v>
      </c>
      <c r="I33" s="17">
        <f>'CDM Activity'!F61</f>
        <v>66994.046072553712</v>
      </c>
      <c r="J33" s="93">
        <v>31</v>
      </c>
      <c r="K33" s="17">
        <v>2728</v>
      </c>
      <c r="L33" s="10">
        <f t="shared" si="2"/>
        <v>4376425.2070713677</v>
      </c>
      <c r="M33" s="94">
        <f t="shared" si="0"/>
        <v>-5511.7929286323488</v>
      </c>
      <c r="N33" s="169">
        <f t="shared" si="1"/>
        <v>1.2578439463260993E-3</v>
      </c>
    </row>
    <row r="34" spans="1:33" x14ac:dyDescent="0.25">
      <c r="A34" s="3">
        <v>40026</v>
      </c>
      <c r="B34" s="25">
        <v>4062717</v>
      </c>
      <c r="C34" s="65">
        <v>68.900000000000006</v>
      </c>
      <c r="D34" s="17">
        <v>0</v>
      </c>
      <c r="E34" s="83">
        <f>'Pulp Mill'!G112</f>
        <v>0</v>
      </c>
      <c r="F34" s="65">
        <v>21.1</v>
      </c>
      <c r="G34" s="95">
        <v>320</v>
      </c>
      <c r="H34" s="31">
        <v>135.83393482866074</v>
      </c>
      <c r="I34" s="17">
        <f>'CDM Activity'!F62</f>
        <v>69879.436271877436</v>
      </c>
      <c r="J34" s="93">
        <v>31</v>
      </c>
      <c r="K34" s="17">
        <v>2738</v>
      </c>
      <c r="L34" s="10">
        <f t="shared" si="2"/>
        <v>4357726.3814554587</v>
      </c>
      <c r="M34" s="94">
        <f t="shared" si="0"/>
        <v>295009.3814554587</v>
      </c>
      <c r="N34" s="169">
        <f t="shared" si="1"/>
        <v>7.2613815201860901E-2</v>
      </c>
    </row>
    <row r="35" spans="1:33" x14ac:dyDescent="0.25">
      <c r="A35" s="3">
        <v>40057</v>
      </c>
      <c r="B35" s="25">
        <v>4495746</v>
      </c>
      <c r="C35" s="65">
        <v>63</v>
      </c>
      <c r="D35" s="17">
        <v>1</v>
      </c>
      <c r="E35" s="83">
        <f>'Pulp Mill'!G113</f>
        <v>0</v>
      </c>
      <c r="F35" s="65">
        <v>26.800000000000004</v>
      </c>
      <c r="G35" s="95">
        <v>336</v>
      </c>
      <c r="H35" s="31">
        <v>135.46628717329455</v>
      </c>
      <c r="I35" s="17">
        <f>'CDM Activity'!F63</f>
        <v>72764.826471201144</v>
      </c>
      <c r="J35" s="93">
        <v>30</v>
      </c>
      <c r="K35" s="17">
        <v>2742</v>
      </c>
      <c r="L35" s="10">
        <f t="shared" si="2"/>
        <v>3753409.9457293837</v>
      </c>
      <c r="M35" s="94">
        <f t="shared" ref="M35:M66" si="3">L35-B35</f>
        <v>-742336.05427061627</v>
      </c>
      <c r="N35" s="169">
        <f t="shared" ref="N35:N66" si="4">ABS(M35/B35)</f>
        <v>0.16511966073497397</v>
      </c>
    </row>
    <row r="36" spans="1:33" x14ac:dyDescent="0.25">
      <c r="A36" s="3">
        <v>40087</v>
      </c>
      <c r="B36" s="25">
        <v>6209036</v>
      </c>
      <c r="C36" s="65">
        <v>464.99999999999994</v>
      </c>
      <c r="D36" s="17">
        <v>1</v>
      </c>
      <c r="E36" s="83">
        <f>'Pulp Mill'!G114</f>
        <v>0</v>
      </c>
      <c r="F36" s="52">
        <v>0</v>
      </c>
      <c r="G36" s="95">
        <v>336</v>
      </c>
      <c r="H36" s="31">
        <v>135.09963459179312</v>
      </c>
      <c r="I36" s="17">
        <f>'CDM Activity'!F64</f>
        <v>75650.216670524853</v>
      </c>
      <c r="J36" s="93">
        <v>31</v>
      </c>
      <c r="K36" s="17">
        <v>2751</v>
      </c>
      <c r="L36" s="10">
        <f t="shared" si="2"/>
        <v>5964271.0920809899</v>
      </c>
      <c r="M36" s="94">
        <f t="shared" si="3"/>
        <v>-244764.90791901015</v>
      </c>
      <c r="N36" s="169">
        <f t="shared" si="4"/>
        <v>3.9420758378435901E-2</v>
      </c>
    </row>
    <row r="37" spans="1:33" x14ac:dyDescent="0.25">
      <c r="A37" s="3">
        <v>40118</v>
      </c>
      <c r="B37" s="25">
        <v>6154276</v>
      </c>
      <c r="C37" s="65">
        <v>498.4</v>
      </c>
      <c r="D37" s="17">
        <v>1</v>
      </c>
      <c r="E37" s="83">
        <f>'Pulp Mill'!G115</f>
        <v>0</v>
      </c>
      <c r="F37" s="52">
        <v>0</v>
      </c>
      <c r="G37" s="95">
        <v>320</v>
      </c>
      <c r="H37" s="31">
        <v>134.733974390893</v>
      </c>
      <c r="I37" s="17">
        <f>'CDM Activity'!F65</f>
        <v>78535.606869848561</v>
      </c>
      <c r="J37" s="93">
        <v>30</v>
      </c>
      <c r="K37" s="17">
        <v>2743</v>
      </c>
      <c r="L37" s="10">
        <f t="shared" si="2"/>
        <v>6147959.5554843321</v>
      </c>
      <c r="M37" s="94">
        <f t="shared" si="3"/>
        <v>-6316.4445156678557</v>
      </c>
      <c r="N37" s="169">
        <f t="shared" si="4"/>
        <v>1.0263505432105834E-3</v>
      </c>
    </row>
    <row r="38" spans="1:33" s="30" customFormat="1" x14ac:dyDescent="0.25">
      <c r="A38" s="3">
        <v>40148</v>
      </c>
      <c r="B38" s="25">
        <v>7388223</v>
      </c>
      <c r="C38" s="65">
        <v>1024.5999999999999</v>
      </c>
      <c r="D38" s="17">
        <v>0</v>
      </c>
      <c r="E38" s="83">
        <f>'Pulp Mill'!G116</f>
        <v>0</v>
      </c>
      <c r="F38" s="52">
        <v>0</v>
      </c>
      <c r="G38" s="95">
        <v>352</v>
      </c>
      <c r="H38" s="31">
        <v>134.36930388462019</v>
      </c>
      <c r="I38" s="17">
        <f>'CDM Activity'!F66</f>
        <v>81420.99706917227</v>
      </c>
      <c r="J38" s="93">
        <v>31</v>
      </c>
      <c r="K38" s="17">
        <v>2733</v>
      </c>
      <c r="L38" s="10">
        <f t="shared" si="2"/>
        <v>9613746.2759037949</v>
      </c>
      <c r="M38" s="94">
        <f t="shared" si="3"/>
        <v>2225523.2759037949</v>
      </c>
      <c r="N38" s="169">
        <f t="shared" si="4"/>
        <v>0.30122578540249734</v>
      </c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</row>
    <row r="39" spans="1:33" x14ac:dyDescent="0.25">
      <c r="A39" s="3">
        <v>40179</v>
      </c>
      <c r="B39" s="25">
        <v>11066124</v>
      </c>
      <c r="C39" s="65">
        <v>1017.8000000000001</v>
      </c>
      <c r="D39" s="17">
        <v>0</v>
      </c>
      <c r="E39" s="83">
        <f>'Pulp Mill'!G117</f>
        <v>0</v>
      </c>
      <c r="F39" s="65">
        <v>0</v>
      </c>
      <c r="G39" s="95">
        <v>320</v>
      </c>
      <c r="H39" s="31">
        <v>134.73334561620703</v>
      </c>
      <c r="I39" s="17">
        <f>'CDM Activity'!F67</f>
        <v>78687.721874404204</v>
      </c>
      <c r="J39" s="93">
        <v>31</v>
      </c>
      <c r="K39" s="17">
        <v>2740</v>
      </c>
      <c r="L39" s="10">
        <f t="shared" si="2"/>
        <v>9576348.624671977</v>
      </c>
      <c r="M39" s="94">
        <f t="shared" si="3"/>
        <v>-1489775.375328023</v>
      </c>
      <c r="N39" s="169">
        <f t="shared" si="4"/>
        <v>0.13462485829076404</v>
      </c>
    </row>
    <row r="40" spans="1:33" x14ac:dyDescent="0.25">
      <c r="A40" s="3">
        <v>40210</v>
      </c>
      <c r="B40" s="25">
        <v>8314898</v>
      </c>
      <c r="C40" s="65">
        <v>861.60000000000014</v>
      </c>
      <c r="D40" s="17">
        <v>0</v>
      </c>
      <c r="E40" s="83">
        <f>'Pulp Mill'!G118</f>
        <v>0</v>
      </c>
      <c r="F40" s="65">
        <v>0</v>
      </c>
      <c r="G40" s="95">
        <v>304</v>
      </c>
      <c r="H40" s="31">
        <v>135.09837363244745</v>
      </c>
      <c r="I40" s="17">
        <f>'CDM Activity'!F68</f>
        <v>75954.446679636138</v>
      </c>
      <c r="J40" s="93">
        <v>28</v>
      </c>
      <c r="K40" s="17">
        <v>2742</v>
      </c>
      <c r="L40" s="10">
        <f t="shared" si="2"/>
        <v>8717302.5772587396</v>
      </c>
      <c r="M40" s="94">
        <f t="shared" si="3"/>
        <v>402404.57725873962</v>
      </c>
      <c r="N40" s="169">
        <f t="shared" si="4"/>
        <v>4.8395611979694712E-2</v>
      </c>
    </row>
    <row r="41" spans="1:33" x14ac:dyDescent="0.25">
      <c r="A41" s="3">
        <v>40238</v>
      </c>
      <c r="B41" s="25">
        <v>6523675</v>
      </c>
      <c r="C41" s="65">
        <v>530.9</v>
      </c>
      <c r="D41" s="17">
        <v>1</v>
      </c>
      <c r="E41" s="83">
        <f>'Pulp Mill'!G119</f>
        <v>0</v>
      </c>
      <c r="F41" s="65">
        <v>0</v>
      </c>
      <c r="G41" s="95">
        <v>368</v>
      </c>
      <c r="H41" s="31">
        <v>135.46439060544563</v>
      </c>
      <c r="I41" s="17">
        <f>'CDM Activity'!F69</f>
        <v>73221.171484868071</v>
      </c>
      <c r="J41" s="93">
        <v>31</v>
      </c>
      <c r="K41" s="17">
        <v>2729</v>
      </c>
      <c r="L41" s="10">
        <f t="shared" si="2"/>
        <v>6326698.3297540527</v>
      </c>
      <c r="M41" s="94">
        <f t="shared" si="3"/>
        <v>-196976.67024594732</v>
      </c>
      <c r="N41" s="169">
        <f t="shared" si="4"/>
        <v>3.0194126814402512E-2</v>
      </c>
    </row>
    <row r="42" spans="1:33" x14ac:dyDescent="0.25">
      <c r="A42" s="3">
        <v>40269</v>
      </c>
      <c r="B42" s="25">
        <v>5173000</v>
      </c>
      <c r="C42" s="65">
        <v>324.10000000000002</v>
      </c>
      <c r="D42" s="17">
        <v>1</v>
      </c>
      <c r="E42" s="83">
        <f>'Pulp Mill'!G120</f>
        <v>0</v>
      </c>
      <c r="F42" s="65">
        <v>0</v>
      </c>
      <c r="G42" s="95">
        <v>320</v>
      </c>
      <c r="H42" s="31">
        <v>135.83139921454512</v>
      </c>
      <c r="I42" s="17">
        <f>'CDM Activity'!F70</f>
        <v>70487.896290100005</v>
      </c>
      <c r="J42" s="93">
        <v>30</v>
      </c>
      <c r="K42" s="17">
        <v>2736</v>
      </c>
      <c r="L42" s="10">
        <f t="shared" si="2"/>
        <v>5189369.7599393446</v>
      </c>
      <c r="M42" s="94">
        <f t="shared" si="3"/>
        <v>16369.7599393446</v>
      </c>
      <c r="N42" s="169">
        <f t="shared" si="4"/>
        <v>3.1644616159568141E-3</v>
      </c>
    </row>
    <row r="43" spans="1:33" x14ac:dyDescent="0.25">
      <c r="A43" s="3">
        <v>40299</v>
      </c>
      <c r="B43" s="25">
        <v>4272142</v>
      </c>
      <c r="C43" s="65">
        <v>196.19999999999996</v>
      </c>
      <c r="D43" s="17">
        <v>1</v>
      </c>
      <c r="E43" s="83">
        <f>'Pulp Mill'!G121</f>
        <v>0</v>
      </c>
      <c r="F43" s="65">
        <v>12.9</v>
      </c>
      <c r="G43" s="95">
        <v>320</v>
      </c>
      <c r="H43" s="31">
        <v>136.19940214634852</v>
      </c>
      <c r="I43" s="17">
        <f>'CDM Activity'!F71</f>
        <v>67754.621095331939</v>
      </c>
      <c r="J43" s="93">
        <v>31</v>
      </c>
      <c r="K43" s="17">
        <v>2735</v>
      </c>
      <c r="L43" s="10">
        <f t="shared" si="2"/>
        <v>4485963.937505587</v>
      </c>
      <c r="M43" s="94">
        <f t="shared" si="3"/>
        <v>213821.937505587</v>
      </c>
      <c r="N43" s="169">
        <f t="shared" si="4"/>
        <v>5.0050288006715835E-2</v>
      </c>
    </row>
    <row r="44" spans="1:33" x14ac:dyDescent="0.25">
      <c r="A44" s="3">
        <v>40330</v>
      </c>
      <c r="B44" s="25">
        <v>4937182</v>
      </c>
      <c r="C44" s="65">
        <v>83.09999999999998</v>
      </c>
      <c r="D44" s="17">
        <v>0</v>
      </c>
      <c r="E44" s="83">
        <f>'Pulp Mill'!G122</f>
        <v>0.5</v>
      </c>
      <c r="F44" s="65">
        <v>6.8000000000000007</v>
      </c>
      <c r="G44" s="95">
        <v>352</v>
      </c>
      <c r="H44" s="31">
        <v>136.56840209473719</v>
      </c>
      <c r="I44" s="17">
        <f>'CDM Activity'!F72</f>
        <v>65021.345900563872</v>
      </c>
      <c r="J44" s="93">
        <v>30</v>
      </c>
      <c r="K44" s="17">
        <v>2734</v>
      </c>
      <c r="L44" s="10">
        <f t="shared" si="2"/>
        <v>5202033.4577710023</v>
      </c>
      <c r="M44" s="94">
        <f t="shared" si="3"/>
        <v>264851.45777100231</v>
      </c>
      <c r="N44" s="169">
        <f t="shared" si="4"/>
        <v>5.3644256535611272E-2</v>
      </c>
    </row>
    <row r="45" spans="1:33" x14ac:dyDescent="0.25">
      <c r="A45" s="3">
        <v>40360</v>
      </c>
      <c r="B45" s="25">
        <v>4946503</v>
      </c>
      <c r="C45" s="65">
        <v>3.5</v>
      </c>
      <c r="D45" s="17">
        <v>0</v>
      </c>
      <c r="E45" s="83">
        <f>'Pulp Mill'!G123</f>
        <v>0.5</v>
      </c>
      <c r="F45" s="65">
        <v>59.300000000000004</v>
      </c>
      <c r="G45" s="95">
        <v>336</v>
      </c>
      <c r="H45" s="31">
        <v>136.93840176089088</v>
      </c>
      <c r="I45" s="17">
        <f>'CDM Activity'!F73</f>
        <v>62288.070705795806</v>
      </c>
      <c r="J45" s="93">
        <v>31</v>
      </c>
      <c r="K45" s="17">
        <v>2745</v>
      </c>
      <c r="L45" s="10">
        <f t="shared" si="2"/>
        <v>4764260.9521750128</v>
      </c>
      <c r="M45" s="94">
        <f t="shared" si="3"/>
        <v>-182242.04782498721</v>
      </c>
      <c r="N45" s="169">
        <f t="shared" si="4"/>
        <v>3.6842603314904937E-2</v>
      </c>
    </row>
    <row r="46" spans="1:33" x14ac:dyDescent="0.25">
      <c r="A46" s="3">
        <v>40391</v>
      </c>
      <c r="B46" s="25">
        <v>4852669</v>
      </c>
      <c r="C46" s="65">
        <v>41.499999999999993</v>
      </c>
      <c r="D46" s="17">
        <v>0</v>
      </c>
      <c r="E46" s="83">
        <f>'Pulp Mill'!G124</f>
        <v>0.5</v>
      </c>
      <c r="F46" s="65">
        <v>73.5</v>
      </c>
      <c r="G46" s="95">
        <v>336</v>
      </c>
      <c r="H46" s="31">
        <v>137.30940385330757</v>
      </c>
      <c r="I46" s="17">
        <f>'CDM Activity'!F74</f>
        <v>59554.79551102774</v>
      </c>
      <c r="J46" s="93">
        <v>31</v>
      </c>
      <c r="K46" s="17">
        <v>2754</v>
      </c>
      <c r="L46" s="10">
        <f t="shared" si="2"/>
        <v>4973247.8267057613</v>
      </c>
      <c r="M46" s="94">
        <f t="shared" si="3"/>
        <v>120578.82670576125</v>
      </c>
      <c r="N46" s="169">
        <f t="shared" si="4"/>
        <v>2.4847939701999302E-2</v>
      </c>
    </row>
    <row r="47" spans="1:33" x14ac:dyDescent="0.25">
      <c r="A47" s="3">
        <v>40422</v>
      </c>
      <c r="B47" s="25">
        <v>4714401</v>
      </c>
      <c r="C47" s="65">
        <v>234.2</v>
      </c>
      <c r="D47" s="17">
        <v>1</v>
      </c>
      <c r="E47" s="83">
        <f>'Pulp Mill'!G125</f>
        <v>0</v>
      </c>
      <c r="F47" s="65">
        <v>0</v>
      </c>
      <c r="G47" s="95">
        <v>336</v>
      </c>
      <c r="H47" s="31">
        <v>137.68141108782325</v>
      </c>
      <c r="I47" s="17">
        <f>'CDM Activity'!F75</f>
        <v>56821.520316259674</v>
      </c>
      <c r="J47" s="93">
        <v>30</v>
      </c>
      <c r="K47" s="17">
        <v>2753</v>
      </c>
      <c r="L47" s="10">
        <f t="shared" si="2"/>
        <v>4694950.8120363364</v>
      </c>
      <c r="M47" s="94">
        <f t="shared" si="3"/>
        <v>-19450.1879636636</v>
      </c>
      <c r="N47" s="169">
        <f t="shared" si="4"/>
        <v>4.1256965548038026E-3</v>
      </c>
    </row>
    <row r="48" spans="1:33" x14ac:dyDescent="0.25">
      <c r="A48" s="3">
        <v>40452</v>
      </c>
      <c r="B48" s="25">
        <v>5901217</v>
      </c>
      <c r="C48" s="65">
        <v>337.09999999999997</v>
      </c>
      <c r="D48" s="17">
        <v>1</v>
      </c>
      <c r="E48" s="83">
        <f>'Pulp Mill'!G126</f>
        <v>0</v>
      </c>
      <c r="F48" s="65">
        <v>0</v>
      </c>
      <c r="G48" s="95">
        <v>320</v>
      </c>
      <c r="H48" s="31">
        <v>138.0544261876318</v>
      </c>
      <c r="I48" s="17">
        <f>'CDM Activity'!F76</f>
        <v>54088.245121491607</v>
      </c>
      <c r="J48" s="93">
        <v>31</v>
      </c>
      <c r="K48" s="17">
        <v>2743</v>
      </c>
      <c r="L48" s="10">
        <f t="shared" si="2"/>
        <v>5260865.2696472323</v>
      </c>
      <c r="M48" s="94">
        <f t="shared" si="3"/>
        <v>-640351.73035276774</v>
      </c>
      <c r="N48" s="169">
        <f t="shared" si="4"/>
        <v>0.10851180872568621</v>
      </c>
    </row>
    <row r="49" spans="1:14" x14ac:dyDescent="0.25">
      <c r="A49" s="3">
        <v>40483</v>
      </c>
      <c r="B49" s="25">
        <v>7411913</v>
      </c>
      <c r="C49" s="65">
        <v>613.70000000000016</v>
      </c>
      <c r="D49" s="17">
        <v>1</v>
      </c>
      <c r="E49" s="83">
        <f>'Pulp Mill'!G127</f>
        <v>0</v>
      </c>
      <c r="F49" s="65">
        <v>0</v>
      </c>
      <c r="G49" s="95">
        <v>336</v>
      </c>
      <c r="H49" s="31">
        <v>138.42845188330503</v>
      </c>
      <c r="I49" s="17">
        <f>'CDM Activity'!F77</f>
        <v>51354.969926723541</v>
      </c>
      <c r="J49" s="93">
        <v>30</v>
      </c>
      <c r="K49" s="17">
        <v>2766</v>
      </c>
      <c r="L49" s="10">
        <f t="shared" si="2"/>
        <v>6782069.7300473694</v>
      </c>
      <c r="M49" s="94">
        <f t="shared" si="3"/>
        <v>-629843.26995263062</v>
      </c>
      <c r="N49" s="169">
        <f t="shared" si="4"/>
        <v>8.4977153665002622E-2</v>
      </c>
    </row>
    <row r="50" spans="1:14" x14ac:dyDescent="0.25">
      <c r="A50" s="3">
        <v>40513</v>
      </c>
      <c r="B50" s="25">
        <v>6606118</v>
      </c>
      <c r="C50" s="65">
        <v>997.9</v>
      </c>
      <c r="D50" s="17">
        <v>0</v>
      </c>
      <c r="E50" s="83">
        <f>'Pulp Mill'!G128</f>
        <v>0</v>
      </c>
      <c r="F50" s="65">
        <v>0</v>
      </c>
      <c r="G50" s="95">
        <v>368</v>
      </c>
      <c r="H50" s="31">
        <v>138.80349091281266</v>
      </c>
      <c r="I50" s="17">
        <f>'CDM Activity'!F78</f>
        <v>48621.694731955475</v>
      </c>
      <c r="J50" s="93">
        <v>31</v>
      </c>
      <c r="K50" s="17">
        <v>2756</v>
      </c>
      <c r="L50" s="10">
        <f t="shared" si="2"/>
        <v>9466905.4982729778</v>
      </c>
      <c r="M50" s="94">
        <f t="shared" si="3"/>
        <v>2860787.4982729778</v>
      </c>
      <c r="N50" s="169">
        <f t="shared" si="4"/>
        <v>0.43305122588984601</v>
      </c>
    </row>
    <row r="51" spans="1:14" x14ac:dyDescent="0.25">
      <c r="A51" s="3">
        <v>40544</v>
      </c>
      <c r="B51" s="25">
        <v>12613918</v>
      </c>
      <c r="C51" s="52">
        <v>1156.5999999999999</v>
      </c>
      <c r="D51" s="17">
        <v>0</v>
      </c>
      <c r="E51" s="83">
        <f>'Pulp Mill'!G129</f>
        <v>0</v>
      </c>
      <c r="F51" s="52">
        <v>0</v>
      </c>
      <c r="G51" s="95">
        <v>336</v>
      </c>
      <c r="H51" s="31">
        <v>139.10070640604135</v>
      </c>
      <c r="I51" s="17">
        <f>'CDM Activity'!F79</f>
        <v>51016.248018918013</v>
      </c>
      <c r="J51" s="42">
        <v>31</v>
      </c>
      <c r="K51" s="17">
        <v>2756</v>
      </c>
      <c r="L51" s="10">
        <f t="shared" si="2"/>
        <v>10339700.6821685</v>
      </c>
      <c r="M51" s="94">
        <f t="shared" si="3"/>
        <v>-2274217.3178314995</v>
      </c>
      <c r="N51" s="169">
        <f t="shared" si="4"/>
        <v>0.18029428428435157</v>
      </c>
    </row>
    <row r="52" spans="1:14" x14ac:dyDescent="0.25">
      <c r="A52" s="3">
        <v>40575</v>
      </c>
      <c r="B52" s="25">
        <v>8586533</v>
      </c>
      <c r="C52" s="52">
        <v>889.8</v>
      </c>
      <c r="D52" s="17">
        <v>0</v>
      </c>
      <c r="E52" s="83">
        <f>'Pulp Mill'!G130</f>
        <v>0</v>
      </c>
      <c r="F52" s="52">
        <v>0</v>
      </c>
      <c r="G52" s="95">
        <v>304</v>
      </c>
      <c r="H52" s="31">
        <v>139.39855831733732</v>
      </c>
      <c r="I52" s="17">
        <f>'CDM Activity'!F80</f>
        <v>53410.801305880552</v>
      </c>
      <c r="J52" s="42">
        <v>28</v>
      </c>
      <c r="K52" s="17">
        <v>2740</v>
      </c>
      <c r="L52" s="10">
        <f t="shared" si="2"/>
        <v>8872392.8367789276</v>
      </c>
      <c r="M52" s="94">
        <f t="shared" si="3"/>
        <v>285859.83677892759</v>
      </c>
      <c r="N52" s="169">
        <f t="shared" si="4"/>
        <v>3.3291648303095972E-2</v>
      </c>
    </row>
    <row r="53" spans="1:14" x14ac:dyDescent="0.25">
      <c r="A53" s="3">
        <v>40603</v>
      </c>
      <c r="B53" s="25">
        <v>7047311</v>
      </c>
      <c r="C53" s="52">
        <v>816</v>
      </c>
      <c r="D53" s="17">
        <v>1</v>
      </c>
      <c r="E53" s="83">
        <f>'Pulp Mill'!G131</f>
        <v>0</v>
      </c>
      <c r="F53" s="52">
        <v>0</v>
      </c>
      <c r="G53" s="95">
        <v>368</v>
      </c>
      <c r="H53" s="31">
        <v>139.69704800944226</v>
      </c>
      <c r="I53" s="17">
        <f>'CDM Activity'!F81</f>
        <v>55805.35459284309</v>
      </c>
      <c r="J53" s="42">
        <v>31</v>
      </c>
      <c r="K53" s="17">
        <v>2739</v>
      </c>
      <c r="L53" s="10">
        <f t="shared" si="2"/>
        <v>7894649.8541939612</v>
      </c>
      <c r="M53" s="94">
        <f t="shared" si="3"/>
        <v>847338.85419396125</v>
      </c>
      <c r="N53" s="169">
        <f t="shared" si="4"/>
        <v>0.12023576853553948</v>
      </c>
    </row>
    <row r="54" spans="1:14" x14ac:dyDescent="0.25">
      <c r="A54" s="3">
        <v>40634</v>
      </c>
      <c r="B54" s="25">
        <v>6163169</v>
      </c>
      <c r="C54" s="52">
        <v>465.9</v>
      </c>
      <c r="D54" s="17">
        <v>1</v>
      </c>
      <c r="E54" s="83">
        <f>'Pulp Mill'!G132</f>
        <v>0</v>
      </c>
      <c r="F54" s="52">
        <v>0</v>
      </c>
      <c r="G54" s="95">
        <v>320</v>
      </c>
      <c r="H54" s="31">
        <v>139.99617684801592</v>
      </c>
      <c r="I54" s="17">
        <f>'CDM Activity'!F82</f>
        <v>58199.907879805629</v>
      </c>
      <c r="J54" s="42">
        <v>30</v>
      </c>
      <c r="K54" s="17">
        <v>2745</v>
      </c>
      <c r="L54" s="10">
        <f t="shared" si="2"/>
        <v>5969220.7812146135</v>
      </c>
      <c r="M54" s="94">
        <f t="shared" si="3"/>
        <v>-193948.21878538653</v>
      </c>
      <c r="N54" s="169">
        <f t="shared" si="4"/>
        <v>3.1468911332041445E-2</v>
      </c>
    </row>
    <row r="55" spans="1:14" x14ac:dyDescent="0.25">
      <c r="A55" s="3">
        <v>40664</v>
      </c>
      <c r="B55" s="25">
        <v>4610688</v>
      </c>
      <c r="C55" s="52">
        <v>237.4</v>
      </c>
      <c r="D55" s="17">
        <v>1</v>
      </c>
      <c r="E55" s="83">
        <f>'Pulp Mill'!G133</f>
        <v>0</v>
      </c>
      <c r="F55" s="52">
        <v>3.1</v>
      </c>
      <c r="G55" s="95">
        <v>336</v>
      </c>
      <c r="H55" s="31">
        <v>140.29594620164227</v>
      </c>
      <c r="I55" s="17">
        <f>'CDM Activity'!F83</f>
        <v>60594.461166768167</v>
      </c>
      <c r="J55" s="42">
        <v>31</v>
      </c>
      <c r="K55" s="17">
        <v>2741</v>
      </c>
      <c r="L55" s="10">
        <f t="shared" si="2"/>
        <v>4712549.7067336626</v>
      </c>
      <c r="M55" s="94">
        <f t="shared" si="3"/>
        <v>101861.70673366264</v>
      </c>
      <c r="N55" s="169">
        <f t="shared" si="4"/>
        <v>2.2092517805078687E-2</v>
      </c>
    </row>
    <row r="56" spans="1:14" x14ac:dyDescent="0.25">
      <c r="A56" s="3">
        <v>40695</v>
      </c>
      <c r="B56" s="25">
        <v>4667440</v>
      </c>
      <c r="C56" s="52">
        <v>85.6</v>
      </c>
      <c r="D56" s="17">
        <v>0</v>
      </c>
      <c r="E56" s="83">
        <f>'Pulp Mill'!G134</f>
        <v>0</v>
      </c>
      <c r="F56" s="52">
        <v>24.9</v>
      </c>
      <c r="G56" s="95">
        <v>352</v>
      </c>
      <c r="H56" s="31">
        <v>140.59635744183578</v>
      </c>
      <c r="I56" s="17">
        <f>'CDM Activity'!F84</f>
        <v>62989.014453730706</v>
      </c>
      <c r="J56" s="42">
        <v>30</v>
      </c>
      <c r="K56" s="17">
        <v>2742</v>
      </c>
      <c r="L56" s="10">
        <f t="shared" si="2"/>
        <v>4449570.6131571298</v>
      </c>
      <c r="M56" s="94">
        <f t="shared" si="3"/>
        <v>-217869.38684287015</v>
      </c>
      <c r="N56" s="169">
        <f t="shared" si="4"/>
        <v>4.6678561876075567E-2</v>
      </c>
    </row>
    <row r="57" spans="1:14" x14ac:dyDescent="0.25">
      <c r="A57" s="3">
        <v>40725</v>
      </c>
      <c r="B57" s="25">
        <v>4544231</v>
      </c>
      <c r="C57" s="52">
        <v>12</v>
      </c>
      <c r="D57" s="17">
        <v>0</v>
      </c>
      <c r="E57" s="83">
        <f>'Pulp Mill'!G135</f>
        <v>0</v>
      </c>
      <c r="F57" s="52">
        <v>91.3</v>
      </c>
      <c r="G57" s="95">
        <v>320</v>
      </c>
      <c r="H57" s="31">
        <v>140.89741194304773</v>
      </c>
      <c r="I57" s="17">
        <f>'CDM Activity'!F85</f>
        <v>65383.567740693245</v>
      </c>
      <c r="J57" s="42">
        <v>31</v>
      </c>
      <c r="K57" s="17">
        <v>2739</v>
      </c>
      <c r="L57" s="10">
        <f t="shared" si="2"/>
        <v>4044796.0351186264</v>
      </c>
      <c r="M57" s="94">
        <f t="shared" si="3"/>
        <v>-499434.96488137357</v>
      </c>
      <c r="N57" s="169">
        <f t="shared" si="4"/>
        <v>0.10990527657625097</v>
      </c>
    </row>
    <row r="58" spans="1:14" x14ac:dyDescent="0.25">
      <c r="A58" s="3">
        <v>40756</v>
      </c>
      <c r="B58" s="25">
        <v>4713561</v>
      </c>
      <c r="C58" s="52">
        <v>12.2</v>
      </c>
      <c r="D58" s="17">
        <v>0</v>
      </c>
      <c r="E58" s="83">
        <f>'Pulp Mill'!G136</f>
        <v>0</v>
      </c>
      <c r="F58" s="52">
        <v>51.1</v>
      </c>
      <c r="G58" s="95">
        <v>352</v>
      </c>
      <c r="H58" s="31">
        <v>141.19911108267243</v>
      </c>
      <c r="I58" s="17">
        <f>'CDM Activity'!F86</f>
        <v>67778.121027655783</v>
      </c>
      <c r="J58" s="42">
        <v>31</v>
      </c>
      <c r="K58" s="17">
        <v>5743</v>
      </c>
      <c r="L58" s="10">
        <f t="shared" si="2"/>
        <v>4045895.9660372096</v>
      </c>
      <c r="M58" s="94">
        <f t="shared" si="3"/>
        <v>-667665.03396279039</v>
      </c>
      <c r="N58" s="169">
        <f t="shared" si="4"/>
        <v>0.14164769140842567</v>
      </c>
    </row>
    <row r="59" spans="1:14" x14ac:dyDescent="0.25">
      <c r="A59" s="3">
        <v>40787</v>
      </c>
      <c r="B59" s="25">
        <v>4379673</v>
      </c>
      <c r="C59" s="52">
        <v>166.6</v>
      </c>
      <c r="D59" s="17">
        <v>1</v>
      </c>
      <c r="E59" s="83">
        <f>'Pulp Mill'!G137</f>
        <v>0</v>
      </c>
      <c r="F59" s="52">
        <v>17.3</v>
      </c>
      <c r="G59" s="95">
        <v>336</v>
      </c>
      <c r="H59" s="31">
        <v>141.50145624105357</v>
      </c>
      <c r="I59" s="17">
        <f>'CDM Activity'!F87</f>
        <v>70172.674314618329</v>
      </c>
      <c r="J59" s="42">
        <v>30</v>
      </c>
      <c r="K59" s="17">
        <v>2746</v>
      </c>
      <c r="L59" s="10">
        <f t="shared" si="2"/>
        <v>4323174.16155532</v>
      </c>
      <c r="M59" s="94">
        <f t="shared" si="3"/>
        <v>-56498.838444679976</v>
      </c>
      <c r="N59" s="169">
        <f t="shared" si="4"/>
        <v>1.2900241283922333E-2</v>
      </c>
    </row>
    <row r="60" spans="1:14" x14ac:dyDescent="0.25">
      <c r="A60" s="3">
        <v>40817</v>
      </c>
      <c r="B60" s="25">
        <v>5778261</v>
      </c>
      <c r="C60" s="52">
        <v>311.2</v>
      </c>
      <c r="D60" s="17">
        <v>1</v>
      </c>
      <c r="E60" s="83">
        <f>'Pulp Mill'!G138</f>
        <v>0</v>
      </c>
      <c r="F60" s="52">
        <v>3</v>
      </c>
      <c r="G60" s="95">
        <v>320</v>
      </c>
      <c r="H60" s="31">
        <v>141.80444880149057</v>
      </c>
      <c r="I60" s="17">
        <f>'CDM Activity'!F88</f>
        <v>72567.227601580875</v>
      </c>
      <c r="J60" s="42">
        <v>31</v>
      </c>
      <c r="K60" s="17">
        <v>2777</v>
      </c>
      <c r="L60" s="10">
        <f t="shared" si="2"/>
        <v>5118424.2156907488</v>
      </c>
      <c r="M60" s="94">
        <f t="shared" si="3"/>
        <v>-659836.78430925123</v>
      </c>
      <c r="N60" s="169">
        <f t="shared" si="4"/>
        <v>0.11419296987610135</v>
      </c>
    </row>
    <row r="61" spans="1:14" x14ac:dyDescent="0.25">
      <c r="A61" s="3">
        <v>40848</v>
      </c>
      <c r="B61" s="25">
        <v>7473290</v>
      </c>
      <c r="C61" s="52">
        <v>594.5</v>
      </c>
      <c r="D61" s="17">
        <v>1</v>
      </c>
      <c r="E61" s="83">
        <f>'Pulp Mill'!G139</f>
        <v>0</v>
      </c>
      <c r="F61" s="52">
        <v>0</v>
      </c>
      <c r="G61" s="95">
        <v>352</v>
      </c>
      <c r="H61" s="31">
        <v>142.10809015024478</v>
      </c>
      <c r="I61" s="17">
        <f>'CDM Activity'!F89</f>
        <v>74961.780888543421</v>
      </c>
      <c r="J61" s="42">
        <v>30</v>
      </c>
      <c r="K61" s="17">
        <v>2746</v>
      </c>
      <c r="L61" s="10">
        <f t="shared" si="2"/>
        <v>6676476.361863411</v>
      </c>
      <c r="M61" s="94">
        <f t="shared" si="3"/>
        <v>-796813.63813658897</v>
      </c>
      <c r="N61" s="169">
        <f t="shared" si="4"/>
        <v>0.10662153323858554</v>
      </c>
    </row>
    <row r="62" spans="1:14" x14ac:dyDescent="0.25">
      <c r="A62" s="3">
        <v>40878</v>
      </c>
      <c r="B62" s="25">
        <v>5821238</v>
      </c>
      <c r="C62" s="52">
        <v>880.4</v>
      </c>
      <c r="D62" s="17">
        <v>0</v>
      </c>
      <c r="E62" s="83">
        <f>'Pulp Mill'!G140</f>
        <v>0</v>
      </c>
      <c r="F62" s="52">
        <v>0</v>
      </c>
      <c r="G62" s="95">
        <v>336</v>
      </c>
      <c r="H62" s="31">
        <v>142.41238167654581</v>
      </c>
      <c r="I62" s="17">
        <f>'CDM Activity'!F90</f>
        <v>77356.334175505966</v>
      </c>
      <c r="J62" s="42">
        <v>31</v>
      </c>
      <c r="K62" s="17">
        <v>2760</v>
      </c>
      <c r="L62" s="10">
        <f t="shared" si="2"/>
        <v>8820696.0836055316</v>
      </c>
      <c r="M62" s="94">
        <f t="shared" si="3"/>
        <v>2999458.0836055316</v>
      </c>
      <c r="N62" s="169">
        <f t="shared" si="4"/>
        <v>0.51526120107192519</v>
      </c>
    </row>
    <row r="63" spans="1:14" x14ac:dyDescent="0.25">
      <c r="A63" s="3">
        <v>40909</v>
      </c>
      <c r="B63" s="25">
        <v>11952459</v>
      </c>
      <c r="C63" s="65">
        <v>955.7</v>
      </c>
      <c r="D63" s="17">
        <v>0</v>
      </c>
      <c r="E63" s="83">
        <f>'Pulp Mill'!G141</f>
        <v>0</v>
      </c>
      <c r="F63" s="52">
        <v>0</v>
      </c>
      <c r="G63" s="95">
        <v>336</v>
      </c>
      <c r="H63" s="31">
        <v>142.61257743956915</v>
      </c>
      <c r="I63" s="17">
        <f>'CDM Activity'!F91</f>
        <v>75974.615245201145</v>
      </c>
      <c r="J63" s="94">
        <v>31</v>
      </c>
      <c r="K63" s="17">
        <v>2753</v>
      </c>
      <c r="L63" s="10">
        <f t="shared" si="2"/>
        <v>9234820.0744519904</v>
      </c>
      <c r="M63" s="94">
        <f t="shared" si="3"/>
        <v>-2717638.9255480096</v>
      </c>
      <c r="N63" s="169">
        <f t="shared" si="4"/>
        <v>0.22737069631847384</v>
      </c>
    </row>
    <row r="64" spans="1:14" x14ac:dyDescent="0.25">
      <c r="A64" s="3">
        <v>40940</v>
      </c>
      <c r="B64" s="25">
        <v>7823110</v>
      </c>
      <c r="C64" s="65">
        <v>771.3000000000003</v>
      </c>
      <c r="D64" s="17">
        <v>0</v>
      </c>
      <c r="E64" s="83">
        <f>'Pulp Mill'!G142</f>
        <v>0</v>
      </c>
      <c r="F64" s="52">
        <v>0</v>
      </c>
      <c r="G64" s="95">
        <v>320</v>
      </c>
      <c r="H64" s="31">
        <v>142.81305462716429</v>
      </c>
      <c r="I64" s="17">
        <f>'CDM Activity'!F92</f>
        <v>74592.896314896323</v>
      </c>
      <c r="J64" s="94">
        <v>29</v>
      </c>
      <c r="K64" s="17">
        <v>2740</v>
      </c>
      <c r="L64" s="10">
        <f t="shared" si="2"/>
        <v>8220683.7675185669</v>
      </c>
      <c r="M64" s="94">
        <f t="shared" si="3"/>
        <v>397573.76751856692</v>
      </c>
      <c r="N64" s="169">
        <f t="shared" si="4"/>
        <v>5.082042404089511E-2</v>
      </c>
    </row>
    <row r="65" spans="1:14" x14ac:dyDescent="0.25">
      <c r="A65" s="3">
        <v>40969</v>
      </c>
      <c r="B65" s="25">
        <v>6483399</v>
      </c>
      <c r="C65" s="65">
        <v>521.99999999999977</v>
      </c>
      <c r="D65" s="17">
        <v>1</v>
      </c>
      <c r="E65" s="83">
        <f>'Pulp Mill'!G143</f>
        <v>0</v>
      </c>
      <c r="F65" s="52">
        <v>0</v>
      </c>
      <c r="G65" s="95">
        <v>352</v>
      </c>
      <c r="H65" s="31">
        <v>143.01381363494295</v>
      </c>
      <c r="I65" s="17">
        <f>'CDM Activity'!F93</f>
        <v>73211.177384591501</v>
      </c>
      <c r="J65" s="94">
        <v>31</v>
      </c>
      <c r="K65" s="17">
        <v>2747</v>
      </c>
      <c r="L65" s="10">
        <f t="shared" si="2"/>
        <v>6277751.403877113</v>
      </c>
      <c r="M65" s="94">
        <f t="shared" si="3"/>
        <v>-205647.59612288699</v>
      </c>
      <c r="N65" s="169">
        <f t="shared" si="4"/>
        <v>3.1719102298483709E-2</v>
      </c>
    </row>
    <row r="66" spans="1:14" x14ac:dyDescent="0.25">
      <c r="A66" s="3">
        <v>41000</v>
      </c>
      <c r="B66" s="25">
        <v>5203128</v>
      </c>
      <c r="C66" s="65">
        <v>415.8</v>
      </c>
      <c r="D66" s="17">
        <v>1</v>
      </c>
      <c r="E66" s="83">
        <f>'Pulp Mill'!G144</f>
        <v>0</v>
      </c>
      <c r="F66" s="52">
        <v>0</v>
      </c>
      <c r="G66" s="95">
        <v>320</v>
      </c>
      <c r="H66" s="31">
        <v>143.21485485907297</v>
      </c>
      <c r="I66" s="17">
        <f>'CDM Activity'!F94</f>
        <v>71829.45845428668</v>
      </c>
      <c r="J66" s="94">
        <v>30</v>
      </c>
      <c r="K66" s="17">
        <v>2740</v>
      </c>
      <c r="L66" s="10">
        <f t="shared" si="2"/>
        <v>5693688.0861095991</v>
      </c>
      <c r="M66" s="94">
        <f t="shared" si="3"/>
        <v>490560.0861095991</v>
      </c>
      <c r="N66" s="169">
        <f t="shared" si="4"/>
        <v>9.4281763990737705E-2</v>
      </c>
    </row>
    <row r="67" spans="1:14" x14ac:dyDescent="0.25">
      <c r="A67" s="3">
        <v>41030</v>
      </c>
      <c r="B67" s="25">
        <v>4764670</v>
      </c>
      <c r="C67" s="65">
        <v>214.09999999999994</v>
      </c>
      <c r="D67" s="17">
        <v>1</v>
      </c>
      <c r="E67" s="83">
        <f>'Pulp Mill'!G145</f>
        <v>0</v>
      </c>
      <c r="F67" s="52">
        <v>1.3</v>
      </c>
      <c r="G67" s="95">
        <v>352</v>
      </c>
      <c r="H67" s="31">
        <v>143.41617869627913</v>
      </c>
      <c r="I67" s="17">
        <f>'CDM Activity'!F95</f>
        <v>70447.739523981858</v>
      </c>
      <c r="J67" s="94">
        <v>31</v>
      </c>
      <c r="K67" s="17">
        <v>2754</v>
      </c>
      <c r="L67" s="10">
        <f t="shared" si="2"/>
        <v>4584407.7547187554</v>
      </c>
      <c r="M67" s="94">
        <f t="shared" ref="M67:M98" si="5">L67-B67</f>
        <v>-180262.24528124463</v>
      </c>
      <c r="N67" s="169">
        <f t="shared" ref="N67:N98" si="6">ABS(M67/B67)</f>
        <v>3.7833101826830529E-2</v>
      </c>
    </row>
    <row r="68" spans="1:14" x14ac:dyDescent="0.25">
      <c r="A68" s="3">
        <v>41061</v>
      </c>
      <c r="B68" s="25">
        <v>4353013</v>
      </c>
      <c r="C68" s="65">
        <v>44.29999999999999</v>
      </c>
      <c r="D68" s="17">
        <v>0</v>
      </c>
      <c r="E68" s="83">
        <f>'Pulp Mill'!G146</f>
        <v>0</v>
      </c>
      <c r="F68" s="52">
        <v>37.4</v>
      </c>
      <c r="G68" s="95">
        <v>336</v>
      </c>
      <c r="H68" s="31">
        <v>143.61778554384387</v>
      </c>
      <c r="I68" s="17">
        <f>'CDM Activity'!F96</f>
        <v>69066.020593677036</v>
      </c>
      <c r="J68" s="94">
        <v>30</v>
      </c>
      <c r="K68" s="17">
        <v>2759</v>
      </c>
      <c r="L68" s="10">
        <f t="shared" ref="L68:L131" si="7">$P$18+C68*$P$19+D68*$P$20+E68*$P$21</f>
        <v>4222434.8784697633</v>
      </c>
      <c r="M68" s="94">
        <f t="shared" si="5"/>
        <v>-130578.12153023668</v>
      </c>
      <c r="N68" s="169">
        <f t="shared" si="6"/>
        <v>2.9997181614260439E-2</v>
      </c>
    </row>
    <row r="69" spans="1:14" x14ac:dyDescent="0.25">
      <c r="A69" s="3">
        <v>41091</v>
      </c>
      <c r="B69" s="25">
        <v>4757337</v>
      </c>
      <c r="C69" s="65">
        <v>1.9000000000000001</v>
      </c>
      <c r="D69" s="17">
        <v>0</v>
      </c>
      <c r="E69" s="83">
        <f>'Pulp Mill'!G147</f>
        <v>0</v>
      </c>
      <c r="F69" s="52">
        <v>115.00000000000003</v>
      </c>
      <c r="G69" s="95">
        <v>336</v>
      </c>
      <c r="H69" s="31">
        <v>143.81967579960809</v>
      </c>
      <c r="I69" s="17">
        <f>'CDM Activity'!F97</f>
        <v>67684.301663372215</v>
      </c>
      <c r="J69" s="94">
        <v>31</v>
      </c>
      <c r="K69" s="17">
        <v>2759</v>
      </c>
      <c r="L69" s="10">
        <f t="shared" si="7"/>
        <v>3989249.5237301909</v>
      </c>
      <c r="M69" s="94">
        <f t="shared" si="5"/>
        <v>-768087.47626980906</v>
      </c>
      <c r="N69" s="169">
        <f t="shared" si="6"/>
        <v>0.16145324080884096</v>
      </c>
    </row>
    <row r="70" spans="1:14" x14ac:dyDescent="0.25">
      <c r="A70" s="3">
        <v>41122</v>
      </c>
      <c r="B70" s="25">
        <v>4525059</v>
      </c>
      <c r="C70" s="65">
        <v>28.599999999999998</v>
      </c>
      <c r="D70" s="17">
        <v>0</v>
      </c>
      <c r="E70" s="83">
        <f>'Pulp Mill'!G148</f>
        <v>0</v>
      </c>
      <c r="F70" s="52">
        <v>31.799999999999994</v>
      </c>
      <c r="G70" s="95">
        <v>352</v>
      </c>
      <c r="H70" s="31">
        <v>144.02184986197204</v>
      </c>
      <c r="I70" s="17">
        <f>'CDM Activity'!F98</f>
        <v>66302.582733067393</v>
      </c>
      <c r="J70" s="94">
        <v>31</v>
      </c>
      <c r="K70" s="17">
        <v>2777</v>
      </c>
      <c r="L70" s="10">
        <f t="shared" si="7"/>
        <v>4136090.3013610062</v>
      </c>
      <c r="M70" s="94">
        <f t="shared" si="5"/>
        <v>-388968.69863899378</v>
      </c>
      <c r="N70" s="169">
        <f t="shared" si="6"/>
        <v>8.5958812611944685E-2</v>
      </c>
    </row>
    <row r="71" spans="1:14" x14ac:dyDescent="0.25">
      <c r="A71" s="3">
        <v>41153</v>
      </c>
      <c r="B71" s="25">
        <v>5170716</v>
      </c>
      <c r="C71" s="65">
        <v>189.80000000000004</v>
      </c>
      <c r="D71" s="17">
        <v>1</v>
      </c>
      <c r="E71" s="83">
        <f>'Pulp Mill'!G149</f>
        <v>0</v>
      </c>
      <c r="F71" s="52">
        <v>9.1999999999999993</v>
      </c>
      <c r="G71" s="95">
        <v>304</v>
      </c>
      <c r="H71" s="31">
        <v>144.22430812989595</v>
      </c>
      <c r="I71" s="17">
        <f>'CDM Activity'!F99</f>
        <v>64920.863802762571</v>
      </c>
      <c r="J71" s="94">
        <v>30</v>
      </c>
      <c r="K71" s="17">
        <v>2771</v>
      </c>
      <c r="L71" s="10">
        <f t="shared" si="7"/>
        <v>4450766.1481109355</v>
      </c>
      <c r="M71" s="94">
        <f t="shared" si="5"/>
        <v>-719949.85188906454</v>
      </c>
      <c r="N71" s="169">
        <f t="shared" si="6"/>
        <v>0.1392360075256627</v>
      </c>
    </row>
    <row r="72" spans="1:14" x14ac:dyDescent="0.25">
      <c r="A72" s="3">
        <v>41183</v>
      </c>
      <c r="B72" s="25">
        <v>6054498</v>
      </c>
      <c r="C72" s="65">
        <v>444.1</v>
      </c>
      <c r="D72" s="17">
        <v>1</v>
      </c>
      <c r="E72" s="83">
        <f>'Pulp Mill'!G150</f>
        <v>0</v>
      </c>
      <c r="F72" s="52">
        <v>0</v>
      </c>
      <c r="G72" s="95">
        <v>352</v>
      </c>
      <c r="H72" s="31">
        <v>144.42705100290087</v>
      </c>
      <c r="I72" s="17">
        <f>'CDM Activity'!F100</f>
        <v>63539.144872457749</v>
      </c>
      <c r="J72" s="94">
        <v>31</v>
      </c>
      <c r="K72" s="17">
        <v>2763</v>
      </c>
      <c r="L72" s="10">
        <f t="shared" si="7"/>
        <v>5849328.311089078</v>
      </c>
      <c r="M72" s="94">
        <f t="shared" si="5"/>
        <v>-205169.68891092204</v>
      </c>
      <c r="N72" s="169">
        <f t="shared" si="6"/>
        <v>3.3887151157853554E-2</v>
      </c>
    </row>
    <row r="73" spans="1:14" x14ac:dyDescent="0.25">
      <c r="A73" s="3">
        <v>41214</v>
      </c>
      <c r="B73" s="25">
        <v>8297344</v>
      </c>
      <c r="C73" s="65">
        <v>689.00000000000011</v>
      </c>
      <c r="D73" s="17">
        <v>1</v>
      </c>
      <c r="E73" s="83">
        <f>'Pulp Mill'!G151</f>
        <v>0</v>
      </c>
      <c r="F73" s="52">
        <v>0</v>
      </c>
      <c r="G73" s="95">
        <v>352</v>
      </c>
      <c r="H73" s="31">
        <v>144.63007888106955</v>
      </c>
      <c r="I73" s="17">
        <f>'CDM Activity'!F101</f>
        <v>62157.425942152928</v>
      </c>
      <c r="J73" s="94">
        <v>30</v>
      </c>
      <c r="K73" s="17">
        <v>2770</v>
      </c>
      <c r="L73" s="10">
        <f t="shared" si="7"/>
        <v>7196193.7208938263</v>
      </c>
      <c r="M73" s="94">
        <f t="shared" si="5"/>
        <v>-1101150.2791061737</v>
      </c>
      <c r="N73" s="169">
        <f t="shared" si="6"/>
        <v>0.13271117590233378</v>
      </c>
    </row>
    <row r="74" spans="1:14" x14ac:dyDescent="0.25">
      <c r="A74" s="3">
        <v>41244</v>
      </c>
      <c r="B74" s="25">
        <v>6216901</v>
      </c>
      <c r="C74" s="65">
        <f>678.2</f>
        <v>678.2</v>
      </c>
      <c r="D74" s="17">
        <v>0</v>
      </c>
      <c r="E74" s="83">
        <f>'Pulp Mill'!G152</f>
        <v>0</v>
      </c>
      <c r="F74" s="52">
        <v>0</v>
      </c>
      <c r="G74" s="95">
        <v>304</v>
      </c>
      <c r="H74" s="31">
        <v>144.83339216504706</v>
      </c>
      <c r="I74" s="17">
        <f>'CDM Activity'!F102</f>
        <v>60775.707011848106</v>
      </c>
      <c r="J74" s="94">
        <v>31</v>
      </c>
      <c r="K74" s="17">
        <v>2759</v>
      </c>
      <c r="L74" s="10">
        <f t="shared" si="7"/>
        <v>7708665.9249182306</v>
      </c>
      <c r="M74" s="94">
        <f t="shared" si="5"/>
        <v>1491764.9249182306</v>
      </c>
      <c r="N74" s="169">
        <f t="shared" si="6"/>
        <v>0.23995314143143515</v>
      </c>
    </row>
    <row r="75" spans="1:14" x14ac:dyDescent="0.25">
      <c r="A75" s="3">
        <v>41275</v>
      </c>
      <c r="B75" s="25">
        <v>13667507</v>
      </c>
      <c r="C75" s="65">
        <f>1396</f>
        <v>1396</v>
      </c>
      <c r="D75" s="17">
        <v>0</v>
      </c>
      <c r="E75" s="83">
        <f>'Pulp Mill'!G153</f>
        <v>0</v>
      </c>
      <c r="F75" s="52">
        <v>0</v>
      </c>
      <c r="G75" s="95">
        <v>352</v>
      </c>
      <c r="H75" s="31">
        <v>144.98936781896037</v>
      </c>
      <c r="I75" s="17">
        <f>'CDM Activity'!F103</f>
        <v>64022.129699964593</v>
      </c>
      <c r="J75" s="94">
        <v>31</v>
      </c>
      <c r="K75" s="17">
        <v>2766</v>
      </c>
      <c r="L75" s="10">
        <f t="shared" si="7"/>
        <v>11656317.99171222</v>
      </c>
      <c r="M75" s="94">
        <f t="shared" si="5"/>
        <v>-2011189.00828778</v>
      </c>
      <c r="N75" s="169">
        <f t="shared" si="6"/>
        <v>0.14715112333857081</v>
      </c>
    </row>
    <row r="76" spans="1:14" x14ac:dyDescent="0.25">
      <c r="A76" s="3">
        <v>41306</v>
      </c>
      <c r="B76" s="25">
        <v>9570501</v>
      </c>
      <c r="C76" s="65">
        <v>973.78947368421007</v>
      </c>
      <c r="D76" s="17">
        <v>0</v>
      </c>
      <c r="E76" s="83">
        <f>'Pulp Mill'!G154</f>
        <v>0</v>
      </c>
      <c r="F76" s="52">
        <v>0</v>
      </c>
      <c r="G76" s="95">
        <v>304</v>
      </c>
      <c r="H76" s="31">
        <v>145.14551144798114</v>
      </c>
      <c r="I76" s="17">
        <f>'CDM Activity'!F104</f>
        <v>67268.55238808108</v>
      </c>
      <c r="J76" s="94">
        <v>28</v>
      </c>
      <c r="K76" s="17">
        <v>2764</v>
      </c>
      <c r="L76" s="10">
        <f t="shared" si="7"/>
        <v>9334305.9314827602</v>
      </c>
      <c r="M76" s="94">
        <f t="shared" si="5"/>
        <v>-236195.06851723976</v>
      </c>
      <c r="N76" s="169">
        <f t="shared" si="6"/>
        <v>2.4679488411028825E-2</v>
      </c>
    </row>
    <row r="77" spans="1:14" x14ac:dyDescent="0.25">
      <c r="A77" s="3">
        <v>41334</v>
      </c>
      <c r="B77" s="25">
        <v>7901671</v>
      </c>
      <c r="C77" s="65">
        <v>874.42105263157919</v>
      </c>
      <c r="D77" s="17">
        <v>1</v>
      </c>
      <c r="E77" s="83">
        <f>'Pulp Mill'!G155</f>
        <v>0</v>
      </c>
      <c r="F77" s="52">
        <v>0</v>
      </c>
      <c r="G77" s="95">
        <v>320</v>
      </c>
      <c r="H77" s="31">
        <v>145.30182323300707</v>
      </c>
      <c r="I77" s="17">
        <f>'CDM Activity'!F105</f>
        <v>70514.975076197574</v>
      </c>
      <c r="J77" s="94">
        <v>31</v>
      </c>
      <c r="K77" s="17">
        <v>2763</v>
      </c>
      <c r="L77" s="10">
        <f t="shared" si="7"/>
        <v>8215945.4646221213</v>
      </c>
      <c r="M77" s="94">
        <f t="shared" si="5"/>
        <v>314274.4646221213</v>
      </c>
      <c r="N77" s="169">
        <f t="shared" si="6"/>
        <v>3.9773165020679971E-2</v>
      </c>
    </row>
    <row r="78" spans="1:14" x14ac:dyDescent="0.25">
      <c r="A78" s="3">
        <v>41365</v>
      </c>
      <c r="B78" s="25">
        <v>6477370.4199999999</v>
      </c>
      <c r="C78" s="65">
        <v>614.9473684210526</v>
      </c>
      <c r="D78" s="17">
        <v>1</v>
      </c>
      <c r="E78" s="83">
        <f>'Pulp Mill'!G156</f>
        <v>0.5</v>
      </c>
      <c r="F78" s="52">
        <v>0</v>
      </c>
      <c r="G78" s="95">
        <v>352</v>
      </c>
      <c r="H78" s="31">
        <v>145.45830335513068</v>
      </c>
      <c r="I78" s="17">
        <f>'CDM Activity'!F106</f>
        <v>73761.397764314068</v>
      </c>
      <c r="J78" s="94">
        <v>30</v>
      </c>
      <c r="K78" s="17">
        <v>2763</v>
      </c>
      <c r="L78" s="10">
        <f t="shared" si="7"/>
        <v>7555141.8066094257</v>
      </c>
      <c r="M78" s="94">
        <f t="shared" si="5"/>
        <v>1077771.3866094258</v>
      </c>
      <c r="N78" s="169">
        <f t="shared" si="6"/>
        <v>0.16639026591433159</v>
      </c>
    </row>
    <row r="79" spans="1:14" x14ac:dyDescent="0.25">
      <c r="A79" s="3">
        <v>41395</v>
      </c>
      <c r="B79" s="25">
        <v>5601843.8399999999</v>
      </c>
      <c r="C79" s="65">
        <v>294.00000000000011</v>
      </c>
      <c r="D79" s="17">
        <v>1</v>
      </c>
      <c r="E79" s="83">
        <f>'Pulp Mill'!G157</f>
        <v>0.5</v>
      </c>
      <c r="F79" s="52">
        <v>0.5</v>
      </c>
      <c r="G79" s="95">
        <v>352</v>
      </c>
      <c r="H79" s="31">
        <v>145.6149519956395</v>
      </c>
      <c r="I79" s="17">
        <f>'CDM Activity'!F107</f>
        <v>77007.820452430562</v>
      </c>
      <c r="J79" s="94">
        <v>31</v>
      </c>
      <c r="K79" s="17">
        <v>2769</v>
      </c>
      <c r="L79" s="10">
        <f t="shared" si="7"/>
        <v>5790042.1377887791</v>
      </c>
      <c r="M79" s="94">
        <f t="shared" si="5"/>
        <v>188198.29778877925</v>
      </c>
      <c r="N79" s="169">
        <f t="shared" si="6"/>
        <v>3.3595777241226928E-2</v>
      </c>
    </row>
    <row r="80" spans="1:14" x14ac:dyDescent="0.25">
      <c r="A80" s="3">
        <v>41426</v>
      </c>
      <c r="B80" s="25">
        <v>4945616.87</v>
      </c>
      <c r="C80" s="65">
        <v>86.73684210526315</v>
      </c>
      <c r="D80" s="17">
        <v>0</v>
      </c>
      <c r="E80" s="83">
        <f>'Pulp Mill'!G158</f>
        <v>0.5</v>
      </c>
      <c r="F80" s="52">
        <v>10.3</v>
      </c>
      <c r="G80" s="95">
        <v>320</v>
      </c>
      <c r="H80" s="31">
        <v>145.77176933601632</v>
      </c>
      <c r="I80" s="17">
        <f>'CDM Activity'!F108</f>
        <v>80254.243140547056</v>
      </c>
      <c r="J80" s="94">
        <v>30</v>
      </c>
      <c r="K80" s="17">
        <v>2765</v>
      </c>
      <c r="L80" s="10">
        <f t="shared" si="7"/>
        <v>5222034.8331589177</v>
      </c>
      <c r="M80" s="94">
        <f t="shared" si="5"/>
        <v>276417.96315891761</v>
      </c>
      <c r="N80" s="169">
        <f t="shared" si="6"/>
        <v>5.5891503613161531E-2</v>
      </c>
    </row>
    <row r="81" spans="1:14" x14ac:dyDescent="0.25">
      <c r="A81" s="3">
        <v>41456</v>
      </c>
      <c r="B81" s="25">
        <v>5188029.2300000004</v>
      </c>
      <c r="C81" s="65">
        <v>46.736842105263165</v>
      </c>
      <c r="D81" s="17">
        <v>0</v>
      </c>
      <c r="E81" s="83">
        <f>'Pulp Mill'!G159</f>
        <v>0.5</v>
      </c>
      <c r="F81" s="52">
        <v>52.7</v>
      </c>
      <c r="G81" s="95">
        <v>352</v>
      </c>
      <c r="H81" s="31">
        <v>145.92875555793933</v>
      </c>
      <c r="I81" s="17">
        <f>'CDM Activity'!F109</f>
        <v>83500.66582866355</v>
      </c>
      <c r="J81" s="94">
        <v>31</v>
      </c>
      <c r="K81" s="17">
        <v>2754</v>
      </c>
      <c r="L81" s="10">
        <f t="shared" si="7"/>
        <v>5002048.6494423402</v>
      </c>
      <c r="M81" s="94">
        <f t="shared" si="5"/>
        <v>-185980.5805576602</v>
      </c>
      <c r="N81" s="169">
        <f t="shared" si="6"/>
        <v>3.5848020956053904E-2</v>
      </c>
    </row>
    <row r="82" spans="1:14" x14ac:dyDescent="0.25">
      <c r="A82" s="3">
        <v>41487</v>
      </c>
      <c r="B82" s="25">
        <v>5038057.58</v>
      </c>
      <c r="C82" s="65">
        <v>70.736842105263165</v>
      </c>
      <c r="D82" s="17">
        <v>0</v>
      </c>
      <c r="E82" s="83">
        <f>'Pulp Mill'!G160</f>
        <v>0.5</v>
      </c>
      <c r="F82" s="52">
        <v>48.4</v>
      </c>
      <c r="G82" s="95">
        <v>336</v>
      </c>
      <c r="H82" s="31">
        <v>146.08591084328242</v>
      </c>
      <c r="I82" s="17">
        <f>'CDM Activity'!F110</f>
        <v>86747.088516780044</v>
      </c>
      <c r="J82" s="94">
        <v>31</v>
      </c>
      <c r="K82" s="17">
        <v>2777</v>
      </c>
      <c r="L82" s="10">
        <f t="shared" si="7"/>
        <v>5134040.3596722865</v>
      </c>
      <c r="M82" s="94">
        <f t="shared" si="5"/>
        <v>95982.779672286473</v>
      </c>
      <c r="N82" s="169">
        <f t="shared" si="6"/>
        <v>1.9051544796414667E-2</v>
      </c>
    </row>
    <row r="83" spans="1:14" x14ac:dyDescent="0.25">
      <c r="A83" s="3">
        <v>41518</v>
      </c>
      <c r="B83" s="25">
        <v>4809561.68</v>
      </c>
      <c r="C83" s="65">
        <v>140.63157894736841</v>
      </c>
      <c r="D83" s="17">
        <v>1</v>
      </c>
      <c r="E83" s="83">
        <f>'Pulp Mill'!G161</f>
        <v>0.5</v>
      </c>
      <c r="F83" s="52">
        <v>3.4000000000000004</v>
      </c>
      <c r="G83" s="95">
        <v>320</v>
      </c>
      <c r="H83" s="31">
        <v>146.2432353741153</v>
      </c>
      <c r="I83" s="17">
        <f>'CDM Activity'!F111</f>
        <v>89993.511204896538</v>
      </c>
      <c r="J83" s="94">
        <v>30</v>
      </c>
      <c r="K83" s="17">
        <v>2774</v>
      </c>
      <c r="L83" s="10">
        <f t="shared" si="7"/>
        <v>4946568.796538638</v>
      </c>
      <c r="M83" s="94">
        <f t="shared" si="5"/>
        <v>137007.11653863825</v>
      </c>
      <c r="N83" s="169">
        <f t="shared" si="6"/>
        <v>2.8486403887565542E-2</v>
      </c>
    </row>
    <row r="84" spans="1:14" x14ac:dyDescent="0.25">
      <c r="A84" s="3">
        <v>41548</v>
      </c>
      <c r="B84" s="25">
        <v>7192825.3200000003</v>
      </c>
      <c r="C84" s="65">
        <v>364.63157894736844</v>
      </c>
      <c r="D84" s="17">
        <v>1</v>
      </c>
      <c r="E84" s="83">
        <f>'Pulp Mill'!G162</f>
        <v>0.5</v>
      </c>
      <c r="F84" s="52">
        <v>0</v>
      </c>
      <c r="G84" s="95">
        <v>352</v>
      </c>
      <c r="H84" s="31">
        <v>146.4007293327038</v>
      </c>
      <c r="I84" s="17">
        <f>'CDM Activity'!F112</f>
        <v>93239.933893013033</v>
      </c>
      <c r="J84" s="94">
        <v>31</v>
      </c>
      <c r="K84" s="17">
        <v>2767</v>
      </c>
      <c r="L84" s="10">
        <f t="shared" si="7"/>
        <v>6178491.4253514735</v>
      </c>
      <c r="M84" s="94">
        <f t="shared" si="5"/>
        <v>-1014333.8946485268</v>
      </c>
      <c r="N84" s="169">
        <f t="shared" si="6"/>
        <v>0.14102023190082513</v>
      </c>
    </row>
    <row r="85" spans="1:14" x14ac:dyDescent="0.25">
      <c r="A85" s="3">
        <v>41579</v>
      </c>
      <c r="B85" s="25">
        <v>8675052.9000000004</v>
      </c>
      <c r="C85" s="65">
        <v>723.1</v>
      </c>
      <c r="D85" s="17">
        <v>1</v>
      </c>
      <c r="E85" s="83">
        <f>'Pulp Mill'!G163</f>
        <v>0.5</v>
      </c>
      <c r="F85" s="52">
        <v>0</v>
      </c>
      <c r="G85" s="95">
        <v>336</v>
      </c>
      <c r="H85" s="31">
        <v>146.55839290151005</v>
      </c>
      <c r="I85" s="17">
        <f>'CDM Activity'!F113</f>
        <v>96486.356581129527</v>
      </c>
      <c r="J85" s="94">
        <v>30</v>
      </c>
      <c r="K85" s="17">
        <v>2777</v>
      </c>
      <c r="L85" s="10">
        <f t="shared" si="7"/>
        <v>8149943.9236083673</v>
      </c>
      <c r="M85" s="94">
        <f t="shared" si="5"/>
        <v>-525108.97639163304</v>
      </c>
      <c r="N85" s="169">
        <f t="shared" si="6"/>
        <v>6.0530924992011639E-2</v>
      </c>
    </row>
    <row r="86" spans="1:14" x14ac:dyDescent="0.25">
      <c r="A86" s="3">
        <v>41609</v>
      </c>
      <c r="B86" s="25">
        <v>8624286</v>
      </c>
      <c r="C86" s="65">
        <v>1177.5</v>
      </c>
      <c r="D86" s="17">
        <v>0</v>
      </c>
      <c r="E86" s="83">
        <f>'Pulp Mill'!G164</f>
        <v>0.5</v>
      </c>
      <c r="F86" s="52">
        <v>0</v>
      </c>
      <c r="G86" s="95">
        <v>320</v>
      </c>
      <c r="H86" s="31">
        <v>146.71622626319265</v>
      </c>
      <c r="I86" s="17">
        <f>'CDM Activity'!F114</f>
        <v>99732.779269246021</v>
      </c>
      <c r="J86" s="94">
        <v>31</v>
      </c>
      <c r="K86" s="17">
        <v>2772</v>
      </c>
      <c r="L86" s="10">
        <f t="shared" si="7"/>
        <v>11220855.444256574</v>
      </c>
      <c r="M86" s="94">
        <f t="shared" si="5"/>
        <v>2596569.4442565739</v>
      </c>
      <c r="N86" s="169">
        <f t="shared" si="6"/>
        <v>0.30107645366312918</v>
      </c>
    </row>
    <row r="87" spans="1:14" x14ac:dyDescent="0.25">
      <c r="A87" s="3">
        <v>41640</v>
      </c>
      <c r="B87" s="25">
        <v>15518995</v>
      </c>
      <c r="C87" s="65">
        <v>1244.5999999999999</v>
      </c>
      <c r="D87" s="17">
        <v>0</v>
      </c>
      <c r="E87" s="83">
        <f>'Pulp Mill'!G165</f>
        <v>0.5</v>
      </c>
      <c r="F87" s="52">
        <v>0</v>
      </c>
      <c r="G87" s="95">
        <v>352</v>
      </c>
      <c r="H87" s="31">
        <v>147.04232175221028</v>
      </c>
      <c r="I87" s="17">
        <f>'CDM Activity'!F115</f>
        <v>99721.95663414216</v>
      </c>
      <c r="J87" s="94">
        <v>31</v>
      </c>
      <c r="K87" s="17">
        <v>2776</v>
      </c>
      <c r="L87" s="10">
        <f t="shared" si="7"/>
        <v>11589882.267441131</v>
      </c>
      <c r="M87" s="94">
        <f t="shared" si="5"/>
        <v>-3929112.7325588688</v>
      </c>
      <c r="N87" s="169">
        <f t="shared" si="6"/>
        <v>0.2531808749573583</v>
      </c>
    </row>
    <row r="88" spans="1:14" x14ac:dyDescent="0.25">
      <c r="A88" s="3">
        <v>41671</v>
      </c>
      <c r="B88" s="25">
        <v>10275485.09</v>
      </c>
      <c r="C88" s="65">
        <v>1030.5</v>
      </c>
      <c r="D88" s="17">
        <v>0</v>
      </c>
      <c r="E88" s="83">
        <f>'Pulp Mill'!G166</f>
        <v>0.5</v>
      </c>
      <c r="F88" s="52">
        <v>0</v>
      </c>
      <c r="G88" s="95">
        <v>304</v>
      </c>
      <c r="H88" s="31">
        <v>147.36914202996238</v>
      </c>
      <c r="I88" s="17">
        <f>'CDM Activity'!F116</f>
        <v>99711.133999038298</v>
      </c>
      <c r="J88" s="94">
        <v>28</v>
      </c>
      <c r="K88" s="17">
        <v>2767</v>
      </c>
      <c r="L88" s="10">
        <f t="shared" si="7"/>
        <v>10412406.219098151</v>
      </c>
      <c r="M88" s="94">
        <f t="shared" si="5"/>
        <v>136921.12909815088</v>
      </c>
      <c r="N88" s="169">
        <f t="shared" si="6"/>
        <v>1.3325028249167639E-2</v>
      </c>
    </row>
    <row r="89" spans="1:14" x14ac:dyDescent="0.25">
      <c r="A89" s="3">
        <v>41699</v>
      </c>
      <c r="B89" s="25">
        <v>7866055.9800000004</v>
      </c>
      <c r="C89" s="65">
        <v>950.99999999999989</v>
      </c>
      <c r="D89" s="17">
        <v>1</v>
      </c>
      <c r="E89" s="83">
        <f>'Pulp Mill'!G167</f>
        <v>0.5</v>
      </c>
      <c r="F89" s="52">
        <v>0</v>
      </c>
      <c r="G89" s="95">
        <v>336</v>
      </c>
      <c r="H89" s="31">
        <v>147.69668870738414</v>
      </c>
      <c r="I89" s="17">
        <f>'CDM Activity'!F117</f>
        <v>99700.311363934437</v>
      </c>
      <c r="J89" s="94">
        <v>31</v>
      </c>
      <c r="K89" s="17">
        <v>2772</v>
      </c>
      <c r="L89" s="10">
        <f t="shared" si="7"/>
        <v>9403315.20533357</v>
      </c>
      <c r="M89" s="94">
        <f t="shared" si="5"/>
        <v>1537259.2253335696</v>
      </c>
      <c r="N89" s="169">
        <f t="shared" si="6"/>
        <v>0.1954294794293556</v>
      </c>
    </row>
    <row r="90" spans="1:14" x14ac:dyDescent="0.25">
      <c r="A90" s="3">
        <v>41730</v>
      </c>
      <c r="B90" s="25">
        <v>6939479.6900000004</v>
      </c>
      <c r="C90" s="65">
        <v>600.4</v>
      </c>
      <c r="D90" s="17">
        <v>1</v>
      </c>
      <c r="E90" s="83">
        <f>'Pulp Mill'!G168</f>
        <v>0.5</v>
      </c>
      <c r="F90" s="52">
        <v>0</v>
      </c>
      <c r="G90" s="95">
        <v>320</v>
      </c>
      <c r="H90" s="31">
        <v>148.02496339899133</v>
      </c>
      <c r="I90" s="17">
        <f>'CDM Activity'!F118</f>
        <v>99689.488728830576</v>
      </c>
      <c r="J90" s="94">
        <v>30</v>
      </c>
      <c r="K90" s="17">
        <v>2762</v>
      </c>
      <c r="L90" s="10">
        <f t="shared" si="7"/>
        <v>7475136.305057765</v>
      </c>
      <c r="M90" s="94">
        <f t="shared" si="5"/>
        <v>535656.61505776457</v>
      </c>
      <c r="N90" s="169">
        <f t="shared" si="6"/>
        <v>7.7189737413550175E-2</v>
      </c>
    </row>
    <row r="91" spans="1:14" x14ac:dyDescent="0.25">
      <c r="A91" s="3">
        <v>41760</v>
      </c>
      <c r="B91" s="25">
        <v>5836326.1299999999</v>
      </c>
      <c r="C91" s="65">
        <v>278.09999999999997</v>
      </c>
      <c r="D91" s="17">
        <v>1</v>
      </c>
      <c r="E91" s="83">
        <f>'Pulp Mill'!G169</f>
        <v>0.5</v>
      </c>
      <c r="F91" s="52">
        <v>12.700000000000001</v>
      </c>
      <c r="G91" s="95">
        <v>336</v>
      </c>
      <c r="H91" s="31">
        <v>148.35396772288814</v>
      </c>
      <c r="I91" s="17">
        <f>'CDM Activity'!F119</f>
        <v>99678.666093726715</v>
      </c>
      <c r="J91" s="94">
        <v>31</v>
      </c>
      <c r="K91" s="17">
        <v>2760</v>
      </c>
      <c r="L91" s="10">
        <f t="shared" si="7"/>
        <v>5702597.6297614388</v>
      </c>
      <c r="M91" s="94">
        <f t="shared" si="5"/>
        <v>-133728.50023856107</v>
      </c>
      <c r="N91" s="169">
        <f t="shared" si="6"/>
        <v>2.2913130154116505E-2</v>
      </c>
    </row>
    <row r="92" spans="1:14" x14ac:dyDescent="0.25">
      <c r="A92" s="3">
        <v>41791</v>
      </c>
      <c r="B92" s="25">
        <v>4899692.66</v>
      </c>
      <c r="C92" s="65">
        <v>100.30000000000001</v>
      </c>
      <c r="D92" s="17">
        <v>0</v>
      </c>
      <c r="E92" s="83">
        <f>'Pulp Mill'!G170</f>
        <v>0.5</v>
      </c>
      <c r="F92" s="52">
        <v>14.5</v>
      </c>
      <c r="G92" s="95">
        <v>336</v>
      </c>
      <c r="H92" s="31">
        <v>148.68370330077519</v>
      </c>
      <c r="I92" s="17">
        <f>'CDM Activity'!F120</f>
        <v>99667.843458622854</v>
      </c>
      <c r="J92" s="94">
        <v>30</v>
      </c>
      <c r="K92" s="17">
        <v>2774</v>
      </c>
      <c r="L92" s="10">
        <f t="shared" si="7"/>
        <v>5296627.5167691307</v>
      </c>
      <c r="M92" s="94">
        <f t="shared" si="5"/>
        <v>396934.85676913057</v>
      </c>
      <c r="N92" s="169">
        <f t="shared" si="6"/>
        <v>8.1012194909615115E-2</v>
      </c>
    </row>
    <row r="93" spans="1:14" x14ac:dyDescent="0.25">
      <c r="A93" s="3">
        <v>41821</v>
      </c>
      <c r="B93" s="25">
        <v>5148464.1399999997</v>
      </c>
      <c r="C93" s="65">
        <v>78.3</v>
      </c>
      <c r="D93" s="17">
        <v>0</v>
      </c>
      <c r="E93" s="83">
        <f>'Pulp Mill'!G171</f>
        <v>0.5</v>
      </c>
      <c r="F93" s="52">
        <v>15.9</v>
      </c>
      <c r="G93" s="95">
        <v>352</v>
      </c>
      <c r="H93" s="31">
        <v>149.0141717579576</v>
      </c>
      <c r="I93" s="17">
        <f>'CDM Activity'!F121</f>
        <v>99657.020823518993</v>
      </c>
      <c r="J93" s="94">
        <v>31</v>
      </c>
      <c r="K93" s="17">
        <v>2780</v>
      </c>
      <c r="L93" s="10">
        <f t="shared" si="7"/>
        <v>5175635.1157250134</v>
      </c>
      <c r="M93" s="94">
        <f t="shared" si="5"/>
        <v>27170.975725013763</v>
      </c>
      <c r="N93" s="169">
        <f t="shared" si="6"/>
        <v>5.2774914976903703E-3</v>
      </c>
    </row>
    <row r="94" spans="1:14" x14ac:dyDescent="0.25">
      <c r="A94" s="3">
        <v>41852</v>
      </c>
      <c r="B94" s="25">
        <v>4841846.5599999996</v>
      </c>
      <c r="C94" s="65">
        <v>66.5</v>
      </c>
      <c r="D94" s="17">
        <v>0</v>
      </c>
      <c r="E94" s="83">
        <f>'Pulp Mill'!G172</f>
        <v>0.5</v>
      </c>
      <c r="F94" s="52">
        <v>14</v>
      </c>
      <c r="G94" s="95">
        <v>320</v>
      </c>
      <c r="H94" s="31">
        <v>149.34537472335285</v>
      </c>
      <c r="I94" s="17">
        <f>'CDM Activity'!F122</f>
        <v>99646.198188415132</v>
      </c>
      <c r="J94" s="94">
        <v>31</v>
      </c>
      <c r="K94" s="17">
        <v>2799</v>
      </c>
      <c r="L94" s="10">
        <f t="shared" si="7"/>
        <v>5110739.191528623</v>
      </c>
      <c r="M94" s="94">
        <f t="shared" si="5"/>
        <v>268892.6315286234</v>
      </c>
      <c r="N94" s="169">
        <f t="shared" si="6"/>
        <v>5.5535141024506865E-2</v>
      </c>
    </row>
    <row r="95" spans="1:14" x14ac:dyDescent="0.25">
      <c r="A95" s="3">
        <v>41883</v>
      </c>
      <c r="B95" s="25">
        <v>3291504.51</v>
      </c>
      <c r="C95" s="65">
        <v>208.79999999999998</v>
      </c>
      <c r="D95" s="17">
        <v>1</v>
      </c>
      <c r="E95" s="83">
        <f>'Pulp Mill'!G173</f>
        <v>0.5</v>
      </c>
      <c r="F95" s="52">
        <v>3.1</v>
      </c>
      <c r="G95" s="95">
        <v>336</v>
      </c>
      <c r="H95" s="31">
        <v>149.67731382949896</v>
      </c>
      <c r="I95" s="17">
        <f>'CDM Activity'!F123</f>
        <v>99635.375553311271</v>
      </c>
      <c r="J95" s="94">
        <v>30</v>
      </c>
      <c r="K95" s="17">
        <v>2803</v>
      </c>
      <c r="L95" s="10">
        <f t="shared" si="7"/>
        <v>5321471.566472468</v>
      </c>
      <c r="M95" s="94">
        <f t="shared" si="5"/>
        <v>2029967.0564724682</v>
      </c>
      <c r="N95" s="169">
        <f t="shared" si="6"/>
        <v>0.61672923439879124</v>
      </c>
    </row>
    <row r="96" spans="1:14" x14ac:dyDescent="0.25">
      <c r="A96" s="3">
        <v>41913</v>
      </c>
      <c r="B96" s="25">
        <v>6403698.4299999997</v>
      </c>
      <c r="C96" s="65">
        <v>399.9</v>
      </c>
      <c r="D96" s="17">
        <v>1</v>
      </c>
      <c r="E96" s="83">
        <f>'Pulp Mill'!G174</f>
        <v>0.5</v>
      </c>
      <c r="F96" s="52">
        <v>0</v>
      </c>
      <c r="G96" s="95">
        <v>352</v>
      </c>
      <c r="H96" s="31">
        <v>150.00999071256246</v>
      </c>
      <c r="I96" s="17">
        <f>'CDM Activity'!F124</f>
        <v>99624.55291820741</v>
      </c>
      <c r="J96" s="94">
        <v>31</v>
      </c>
      <c r="K96" s="17">
        <v>2785</v>
      </c>
      <c r="L96" s="10">
        <f t="shared" si="7"/>
        <v>6372455.5591784185</v>
      </c>
      <c r="M96" s="94">
        <f t="shared" si="5"/>
        <v>-31242.870821581222</v>
      </c>
      <c r="N96" s="169">
        <f t="shared" si="6"/>
        <v>4.8788791607073259E-3</v>
      </c>
    </row>
    <row r="97" spans="1:14" x14ac:dyDescent="0.25">
      <c r="A97" s="3">
        <v>41944</v>
      </c>
      <c r="B97" s="25">
        <v>8682529.4000000004</v>
      </c>
      <c r="C97" s="65">
        <v>823.8</v>
      </c>
      <c r="D97" s="17">
        <v>1</v>
      </c>
      <c r="E97" s="83">
        <f>'Pulp Mill'!G175</f>
        <v>0.5</v>
      </c>
      <c r="F97" s="52">
        <v>0</v>
      </c>
      <c r="G97" s="95">
        <v>304</v>
      </c>
      <c r="H97" s="31">
        <v>150.34340701234646</v>
      </c>
      <c r="I97" s="17">
        <f>'CDM Activity'!F125</f>
        <v>99613.730283103549</v>
      </c>
      <c r="J97" s="94">
        <v>30</v>
      </c>
      <c r="K97" s="17">
        <v>2798</v>
      </c>
      <c r="L97" s="10">
        <f t="shared" si="7"/>
        <v>8703759.1411148533</v>
      </c>
      <c r="M97" s="94">
        <f t="shared" si="5"/>
        <v>21229.74111485295</v>
      </c>
      <c r="N97" s="169">
        <f t="shared" si="6"/>
        <v>2.4451101904535964E-3</v>
      </c>
    </row>
    <row r="98" spans="1:14" x14ac:dyDescent="0.25">
      <c r="A98" s="3">
        <v>41974</v>
      </c>
      <c r="B98" s="25">
        <v>9815239</v>
      </c>
      <c r="C98" s="65">
        <v>891.90000000000009</v>
      </c>
      <c r="D98" s="17">
        <v>0</v>
      </c>
      <c r="E98" s="83">
        <f>'Pulp Mill'!G176</f>
        <v>0.5</v>
      </c>
      <c r="F98" s="52">
        <v>0</v>
      </c>
      <c r="G98" s="95">
        <v>336</v>
      </c>
      <c r="H98" s="31">
        <v>150.67756437229883</v>
      </c>
      <c r="I98" s="17">
        <f>'CDM Activity'!F126</f>
        <v>99602.907647999687</v>
      </c>
      <c r="J98" s="94">
        <v>31</v>
      </c>
      <c r="K98" s="17">
        <v>2784</v>
      </c>
      <c r="L98" s="10">
        <f t="shared" si="7"/>
        <v>9650154.0925202072</v>
      </c>
      <c r="M98" s="94">
        <f t="shared" si="5"/>
        <v>-165084.90747979283</v>
      </c>
      <c r="N98" s="169">
        <f t="shared" si="6"/>
        <v>1.6819244796768863E-2</v>
      </c>
    </row>
    <row r="99" spans="1:14" x14ac:dyDescent="0.25">
      <c r="A99" s="3">
        <v>42005</v>
      </c>
      <c r="B99" s="25">
        <v>11204378.85</v>
      </c>
      <c r="C99" s="65">
        <v>1109.8</v>
      </c>
      <c r="D99" s="17">
        <v>0</v>
      </c>
      <c r="E99" s="83">
        <f>'Pulp Mill'!G177</f>
        <v>0.5</v>
      </c>
      <c r="F99" s="52">
        <v>0</v>
      </c>
      <c r="G99" s="95">
        <v>336</v>
      </c>
      <c r="H99" s="31">
        <v>150.98793548444445</v>
      </c>
      <c r="I99" s="17">
        <f>'CDM Activity'!F127</f>
        <v>101347.87847495129</v>
      </c>
      <c r="J99" s="94">
        <v>31</v>
      </c>
      <c r="K99" s="17">
        <v>2768</v>
      </c>
      <c r="L99" s="10">
        <f t="shared" si="7"/>
        <v>10848528.828316264</v>
      </c>
      <c r="M99" s="94">
        <f t="shared" ref="M99:M130" si="8">L99-B99</f>
        <v>-355850.02168373577</v>
      </c>
      <c r="N99" s="169">
        <f t="shared" ref="N99:N130" si="9">ABS(M99/B99)</f>
        <v>3.1759906233778931E-2</v>
      </c>
    </row>
    <row r="100" spans="1:14" x14ac:dyDescent="0.25">
      <c r="A100" s="3">
        <v>42036</v>
      </c>
      <c r="B100" s="25">
        <v>10720306.83</v>
      </c>
      <c r="C100" s="65">
        <v>1127.7</v>
      </c>
      <c r="D100" s="17">
        <v>0</v>
      </c>
      <c r="E100" s="83">
        <f>'Pulp Mill'!G178</f>
        <v>0.5</v>
      </c>
      <c r="F100" s="52">
        <v>0</v>
      </c>
      <c r="G100" s="95">
        <v>304</v>
      </c>
      <c r="H100" s="31">
        <v>151.298945910264</v>
      </c>
      <c r="I100" s="17">
        <f>'CDM Activity'!F128</f>
        <v>103092.84930190288</v>
      </c>
      <c r="J100" s="94">
        <v>28</v>
      </c>
      <c r="K100" s="17">
        <v>2768</v>
      </c>
      <c r="L100" s="10">
        <f t="shared" si="7"/>
        <v>10946972.645529434</v>
      </c>
      <c r="M100" s="94">
        <f t="shared" si="8"/>
        <v>226665.81552943401</v>
      </c>
      <c r="N100" s="169">
        <f t="shared" si="9"/>
        <v>2.1143594033626555E-2</v>
      </c>
    </row>
    <row r="101" spans="1:14" x14ac:dyDescent="0.25">
      <c r="A101" s="3">
        <v>42064</v>
      </c>
      <c r="B101" s="25">
        <v>9119176.0700000003</v>
      </c>
      <c r="C101" s="65">
        <v>766.1</v>
      </c>
      <c r="D101" s="17">
        <v>1</v>
      </c>
      <c r="E101" s="83">
        <f>'Pulp Mill'!G179</f>
        <v>0.5</v>
      </c>
      <c r="F101" s="52">
        <v>0</v>
      </c>
      <c r="G101" s="95">
        <v>352</v>
      </c>
      <c r="H101" s="31">
        <v>151.61059696663892</v>
      </c>
      <c r="I101" s="17">
        <f>'CDM Activity'!F129</f>
        <v>104837.82012885448</v>
      </c>
      <c r="J101" s="94">
        <v>31</v>
      </c>
      <c r="K101" s="17">
        <v>2773</v>
      </c>
      <c r="L101" s="10">
        <f t="shared" si="7"/>
        <v>8386429.0711036893</v>
      </c>
      <c r="M101" s="94">
        <f t="shared" si="8"/>
        <v>-732746.99889631104</v>
      </c>
      <c r="N101" s="169">
        <f t="shared" si="9"/>
        <v>8.0352324954759982E-2</v>
      </c>
    </row>
    <row r="102" spans="1:14" x14ac:dyDescent="0.25">
      <c r="A102" s="3">
        <v>42095</v>
      </c>
      <c r="B102" s="25">
        <v>6764577.5199999996</v>
      </c>
      <c r="C102" s="65">
        <v>494.90000000000015</v>
      </c>
      <c r="D102" s="17">
        <v>1</v>
      </c>
      <c r="E102" s="83">
        <f>'Pulp Mill'!G180</f>
        <v>0.5</v>
      </c>
      <c r="F102" s="52">
        <v>0</v>
      </c>
      <c r="G102" s="95">
        <v>336</v>
      </c>
      <c r="H102" s="31">
        <v>151.92288997316331</v>
      </c>
      <c r="I102" s="17">
        <f>'CDM Activity'!F130</f>
        <v>106582.79095580608</v>
      </c>
      <c r="J102" s="94">
        <v>30</v>
      </c>
      <c r="K102" s="17">
        <v>2772</v>
      </c>
      <c r="L102" s="10">
        <f t="shared" si="7"/>
        <v>6894922.745505292</v>
      </c>
      <c r="M102" s="94">
        <f t="shared" si="8"/>
        <v>130345.22550529242</v>
      </c>
      <c r="N102" s="169">
        <f t="shared" si="9"/>
        <v>1.9268790271072603E-2</v>
      </c>
    </row>
    <row r="103" spans="1:14" x14ac:dyDescent="0.25">
      <c r="A103" s="3">
        <v>42125</v>
      </c>
      <c r="B103" s="25">
        <v>5592618.9400000004</v>
      </c>
      <c r="C103" s="65">
        <v>279.8</v>
      </c>
      <c r="D103" s="17">
        <v>1</v>
      </c>
      <c r="E103" s="83">
        <f>'Pulp Mill'!G181</f>
        <v>0.5</v>
      </c>
      <c r="F103" s="52">
        <v>0.5</v>
      </c>
      <c r="G103" s="95">
        <v>320</v>
      </c>
      <c r="H103" s="31">
        <v>152.23582625214937</v>
      </c>
      <c r="I103" s="17">
        <f>'CDM Activity'!F131</f>
        <v>108327.76178275768</v>
      </c>
      <c r="J103" s="94">
        <v>31</v>
      </c>
      <c r="K103" s="17">
        <v>2779</v>
      </c>
      <c r="L103" s="10">
        <f t="shared" si="7"/>
        <v>5711947.0425693942</v>
      </c>
      <c r="M103" s="94">
        <f t="shared" si="8"/>
        <v>119328.10256939381</v>
      </c>
      <c r="N103" s="169">
        <f t="shared" si="9"/>
        <v>2.1336712522272042E-2</v>
      </c>
    </row>
    <row r="104" spans="1:14" x14ac:dyDescent="0.25">
      <c r="A104" s="3">
        <v>42156</v>
      </c>
      <c r="B104" s="25">
        <v>4972284.78</v>
      </c>
      <c r="C104" s="65">
        <v>85.9</v>
      </c>
      <c r="D104" s="17">
        <v>0</v>
      </c>
      <c r="E104" s="83">
        <f>'Pulp Mill'!G182</f>
        <v>0.5</v>
      </c>
      <c r="F104" s="52">
        <v>3.9</v>
      </c>
      <c r="G104" s="95">
        <v>352</v>
      </c>
      <c r="H104" s="31">
        <v>152.54940712863302</v>
      </c>
      <c r="I104" s="17">
        <f>'CDM Activity'!F132</f>
        <v>110072.73260970927</v>
      </c>
      <c r="J104" s="94">
        <v>30</v>
      </c>
      <c r="K104" s="17">
        <v>2760</v>
      </c>
      <c r="L104" s="10">
        <f t="shared" si="7"/>
        <v>5217432.4906311631</v>
      </c>
      <c r="M104" s="94">
        <f t="shared" si="8"/>
        <v>245147.71063116286</v>
      </c>
      <c r="N104" s="169">
        <f t="shared" si="9"/>
        <v>4.9302829881590744E-2</v>
      </c>
    </row>
    <row r="105" spans="1:14" x14ac:dyDescent="0.25">
      <c r="A105" s="3">
        <v>42186</v>
      </c>
      <c r="B105" s="25">
        <v>5031915.9400000004</v>
      </c>
      <c r="C105" s="65">
        <v>30.5</v>
      </c>
      <c r="D105" s="17">
        <v>0</v>
      </c>
      <c r="E105" s="83">
        <f>'Pulp Mill'!G183</f>
        <v>0.5</v>
      </c>
      <c r="F105" s="52">
        <v>48.599999999999994</v>
      </c>
      <c r="G105" s="95">
        <v>352</v>
      </c>
      <c r="H105" s="31">
        <v>152.86363393037959</v>
      </c>
      <c r="I105" s="17">
        <f>'CDM Activity'!F133</f>
        <v>111817.70343666087</v>
      </c>
      <c r="J105" s="94">
        <v>31</v>
      </c>
      <c r="K105" s="17">
        <v>2788</v>
      </c>
      <c r="L105" s="10">
        <f t="shared" si="7"/>
        <v>4912751.6261837026</v>
      </c>
      <c r="M105" s="94">
        <f t="shared" si="8"/>
        <v>-119164.3138162978</v>
      </c>
      <c r="N105" s="169">
        <f t="shared" si="9"/>
        <v>2.3681698032558506E-2</v>
      </c>
    </row>
    <row r="106" spans="1:14" x14ac:dyDescent="0.25">
      <c r="A106" s="3">
        <v>42217</v>
      </c>
      <c r="B106" s="25">
        <v>4982970.57</v>
      </c>
      <c r="C106" s="65">
        <v>75.09999999999998</v>
      </c>
      <c r="D106" s="17">
        <v>0</v>
      </c>
      <c r="E106" s="83">
        <f>'Pulp Mill'!G184</f>
        <v>0.5</v>
      </c>
      <c r="F106" s="52">
        <v>38.6</v>
      </c>
      <c r="G106" s="95">
        <v>320</v>
      </c>
      <c r="H106" s="31">
        <v>153.17850798788936</v>
      </c>
      <c r="I106" s="17">
        <f>'CDM Activity'!F134</f>
        <v>113562.67426361247</v>
      </c>
      <c r="J106" s="94">
        <v>31</v>
      </c>
      <c r="K106" s="17">
        <v>2788</v>
      </c>
      <c r="L106" s="10">
        <f t="shared" si="7"/>
        <v>5158036.2210276872</v>
      </c>
      <c r="M106" s="94">
        <f t="shared" si="8"/>
        <v>175065.65102768689</v>
      </c>
      <c r="N106" s="169">
        <f t="shared" si="9"/>
        <v>3.5132788477955409E-2</v>
      </c>
    </row>
    <row r="107" spans="1:14" x14ac:dyDescent="0.25">
      <c r="A107" s="3">
        <v>42248</v>
      </c>
      <c r="B107" s="25">
        <v>4618381.05</v>
      </c>
      <c r="C107" s="65">
        <v>126.2</v>
      </c>
      <c r="D107" s="17">
        <v>1</v>
      </c>
      <c r="E107" s="83">
        <f>'Pulp Mill'!G185</f>
        <v>0</v>
      </c>
      <c r="F107" s="52">
        <v>22.6</v>
      </c>
      <c r="G107" s="95">
        <v>336</v>
      </c>
      <c r="H107" s="31">
        <v>153.4940306344032</v>
      </c>
      <c r="I107" s="17">
        <f>'CDM Activity'!F135</f>
        <v>115307.64509056407</v>
      </c>
      <c r="J107" s="94">
        <v>30</v>
      </c>
      <c r="K107" s="17">
        <v>2783</v>
      </c>
      <c r="L107" s="10">
        <f t="shared" si="7"/>
        <v>4100988.1160015767</v>
      </c>
      <c r="M107" s="94">
        <f t="shared" si="8"/>
        <v>-517392.93399842316</v>
      </c>
      <c r="N107" s="169">
        <f t="shared" si="9"/>
        <v>0.11202907001327297</v>
      </c>
    </row>
    <row r="108" spans="1:14" x14ac:dyDescent="0.25">
      <c r="A108" s="3">
        <v>42278</v>
      </c>
      <c r="B108" s="25">
        <v>5491161.46</v>
      </c>
      <c r="C108" s="65">
        <v>404.09999999999997</v>
      </c>
      <c r="D108" s="17">
        <v>1</v>
      </c>
      <c r="E108" s="83">
        <f>'Pulp Mill'!G186</f>
        <v>0</v>
      </c>
      <c r="F108" s="52">
        <v>0</v>
      </c>
      <c r="G108" s="95">
        <v>336</v>
      </c>
      <c r="H108" s="31">
        <v>153.81020320590829</v>
      </c>
      <c r="I108" s="17">
        <f>'CDM Activity'!F136</f>
        <v>117052.61591751566</v>
      </c>
      <c r="J108" s="94">
        <v>31</v>
      </c>
      <c r="K108" s="17">
        <v>2791</v>
      </c>
      <c r="L108" s="10">
        <f t="shared" si="7"/>
        <v>5629342.1273725005</v>
      </c>
      <c r="M108" s="94">
        <f t="shared" si="8"/>
        <v>138180.66737250052</v>
      </c>
      <c r="N108" s="169">
        <f t="shared" si="9"/>
        <v>2.5164196751282657E-2</v>
      </c>
    </row>
    <row r="109" spans="1:14" x14ac:dyDescent="0.25">
      <c r="A109" s="3">
        <v>42309</v>
      </c>
      <c r="B109" s="25">
        <v>6542402.0499999998</v>
      </c>
      <c r="C109" s="65">
        <v>557.5</v>
      </c>
      <c r="D109" s="17">
        <v>1</v>
      </c>
      <c r="E109" s="83">
        <f>'Pulp Mill'!G187</f>
        <v>0</v>
      </c>
      <c r="F109" s="52">
        <v>0</v>
      </c>
      <c r="G109" s="95">
        <v>320</v>
      </c>
      <c r="H109" s="31">
        <v>154.12702704114372</v>
      </c>
      <c r="I109" s="17">
        <f>'CDM Activity'!F137</f>
        <v>118797.58674446726</v>
      </c>
      <c r="J109" s="94">
        <v>30</v>
      </c>
      <c r="K109" s="17">
        <v>2790</v>
      </c>
      <c r="L109" s="10">
        <f t="shared" si="7"/>
        <v>6472989.1419255771</v>
      </c>
      <c r="M109" s="94">
        <f t="shared" si="8"/>
        <v>-69412.908074422739</v>
      </c>
      <c r="N109" s="169">
        <f t="shared" si="9"/>
        <v>1.0609697714071661E-2</v>
      </c>
    </row>
    <row r="110" spans="1:14" x14ac:dyDescent="0.25">
      <c r="A110" s="3">
        <v>42339</v>
      </c>
      <c r="B110" s="25">
        <v>8353276.4900000002</v>
      </c>
      <c r="C110" s="65">
        <v>803.19999999999993</v>
      </c>
      <c r="D110" s="17">
        <v>0</v>
      </c>
      <c r="E110" s="83">
        <f>'Pulp Mill'!G188</f>
        <v>0</v>
      </c>
      <c r="F110" s="52">
        <v>0</v>
      </c>
      <c r="G110" s="95">
        <v>352</v>
      </c>
      <c r="H110" s="31">
        <v>154.44450348160629</v>
      </c>
      <c r="I110" s="17">
        <f>'CDM Activity'!F138</f>
        <v>120542.55757141886</v>
      </c>
      <c r="J110" s="94">
        <v>31</v>
      </c>
      <c r="K110" s="17">
        <v>2785</v>
      </c>
      <c r="L110" s="10">
        <f t="shared" si="7"/>
        <v>8396122.7490325347</v>
      </c>
      <c r="M110" s="94">
        <f t="shared" si="8"/>
        <v>42846.259032534435</v>
      </c>
      <c r="N110" s="169">
        <f t="shared" si="9"/>
        <v>5.1292758097768211E-3</v>
      </c>
    </row>
    <row r="111" spans="1:14" x14ac:dyDescent="0.25">
      <c r="A111" s="3">
        <v>42370</v>
      </c>
      <c r="B111" s="25">
        <v>9677935.6099999994</v>
      </c>
      <c r="C111" s="65">
        <v>1005.4999999999999</v>
      </c>
      <c r="D111" s="17">
        <v>0</v>
      </c>
      <c r="E111" s="83">
        <f>'Pulp Mill'!G189</f>
        <v>0</v>
      </c>
      <c r="F111" s="52">
        <v>0</v>
      </c>
      <c r="G111" s="95">
        <v>320</v>
      </c>
      <c r="H111" s="31">
        <v>154.72483615659849</v>
      </c>
      <c r="I111" s="17">
        <f>'CDM Activity'!F139</f>
        <v>119457.30401089969</v>
      </c>
      <c r="J111" s="94">
        <v>31</v>
      </c>
      <c r="K111" s="17">
        <v>2785</v>
      </c>
      <c r="L111" s="10">
        <f t="shared" si="7"/>
        <v>9508702.8731791284</v>
      </c>
      <c r="M111" s="94">
        <f t="shared" si="8"/>
        <v>-169232.73682087101</v>
      </c>
      <c r="N111" s="169">
        <f t="shared" si="9"/>
        <v>1.7486449966251739E-2</v>
      </c>
    </row>
    <row r="112" spans="1:14" x14ac:dyDescent="0.25">
      <c r="A112" s="3">
        <v>42401</v>
      </c>
      <c r="B112" s="25">
        <v>8802882.8200000003</v>
      </c>
      <c r="C112" s="65">
        <v>949.7</v>
      </c>
      <c r="D112" s="17">
        <v>0</v>
      </c>
      <c r="E112" s="83">
        <f>'Pulp Mill'!G190</f>
        <v>0</v>
      </c>
      <c r="F112" s="52">
        <v>0</v>
      </c>
      <c r="G112" s="95">
        <v>320</v>
      </c>
      <c r="H112" s="31">
        <v>155.00567766425806</v>
      </c>
      <c r="I112" s="17">
        <f>'CDM Activity'!F140</f>
        <v>118372.05045038053</v>
      </c>
      <c r="J112" s="94">
        <v>29</v>
      </c>
      <c r="K112" s="17">
        <v>2788</v>
      </c>
      <c r="L112" s="10">
        <f t="shared" si="7"/>
        <v>9201822.1468945034</v>
      </c>
      <c r="M112" s="94">
        <f t="shared" si="8"/>
        <v>398939.32689450309</v>
      </c>
      <c r="N112" s="169">
        <f t="shared" si="9"/>
        <v>4.5319168169331951E-2</v>
      </c>
    </row>
    <row r="113" spans="1:14" x14ac:dyDescent="0.25">
      <c r="A113" s="3">
        <v>42430</v>
      </c>
      <c r="B113" s="25">
        <v>7355284.3600000003</v>
      </c>
      <c r="C113" s="65">
        <v>681.1</v>
      </c>
      <c r="D113" s="17">
        <v>1</v>
      </c>
      <c r="E113" s="83">
        <f>'Pulp Mill'!G191</f>
        <v>0</v>
      </c>
      <c r="F113" s="52">
        <v>0</v>
      </c>
      <c r="G113" s="95">
        <v>352</v>
      </c>
      <c r="H113" s="31">
        <v>155.2870289281687</v>
      </c>
      <c r="I113" s="17">
        <f>'CDM Activity'!F141</f>
        <v>117286.79688986136</v>
      </c>
      <c r="J113" s="94">
        <v>31</v>
      </c>
      <c r="K113" s="17">
        <v>2786</v>
      </c>
      <c r="L113" s="10">
        <f t="shared" si="7"/>
        <v>7152746.4496098021</v>
      </c>
      <c r="M113" s="94">
        <f t="shared" si="8"/>
        <v>-202537.91039019823</v>
      </c>
      <c r="N113" s="169">
        <f t="shared" si="9"/>
        <v>2.7536380713117422E-2</v>
      </c>
    </row>
    <row r="114" spans="1:14" x14ac:dyDescent="0.25">
      <c r="A114" s="3">
        <v>42461</v>
      </c>
      <c r="B114" s="25">
        <v>6240545.5499999998</v>
      </c>
      <c r="C114" s="65">
        <v>552.9</v>
      </c>
      <c r="D114" s="17">
        <v>1</v>
      </c>
      <c r="E114" s="83">
        <f>'Pulp Mill'!G192</f>
        <v>0</v>
      </c>
      <c r="F114" s="52">
        <v>0</v>
      </c>
      <c r="G114" s="95">
        <v>336</v>
      </c>
      <c r="H114" s="31">
        <v>155.56889087359048</v>
      </c>
      <c r="I114" s="17">
        <f>'CDM Activity'!F142</f>
        <v>116201.5433293422</v>
      </c>
      <c r="J114" s="94">
        <v>30</v>
      </c>
      <c r="K114" s="17">
        <v>2793</v>
      </c>
      <c r="L114" s="10">
        <f t="shared" si="7"/>
        <v>6447690.73079817</v>
      </c>
      <c r="M114" s="94">
        <f t="shared" si="8"/>
        <v>207145.18079817016</v>
      </c>
      <c r="N114" s="169">
        <f t="shared" si="9"/>
        <v>3.3193441044296224E-2</v>
      </c>
    </row>
    <row r="115" spans="1:14" x14ac:dyDescent="0.25">
      <c r="A115" s="3">
        <v>42491</v>
      </c>
      <c r="B115" s="25">
        <v>4750687.05</v>
      </c>
      <c r="C115" s="65">
        <v>226.20000000000007</v>
      </c>
      <c r="D115" s="17">
        <v>1</v>
      </c>
      <c r="E115" s="83">
        <f>'Pulp Mill'!G193</f>
        <v>0</v>
      </c>
      <c r="F115" s="52">
        <v>0.1</v>
      </c>
      <c r="G115" s="95">
        <v>336</v>
      </c>
      <c r="H115" s="31">
        <v>155.85126442746289</v>
      </c>
      <c r="I115" s="17">
        <f>'CDM Activity'!F143</f>
        <v>115116.28976882303</v>
      </c>
      <c r="J115" s="94">
        <v>31</v>
      </c>
      <c r="K115" s="17">
        <v>2795</v>
      </c>
      <c r="L115" s="10">
        <f t="shared" si="7"/>
        <v>4650953.5752930213</v>
      </c>
      <c r="M115" s="94">
        <f t="shared" si="8"/>
        <v>-99733.474706978537</v>
      </c>
      <c r="N115" s="169">
        <f t="shared" si="9"/>
        <v>2.0993484449155317E-2</v>
      </c>
    </row>
    <row r="116" spans="1:14" x14ac:dyDescent="0.25">
      <c r="A116" s="3">
        <v>42522</v>
      </c>
      <c r="B116" s="25">
        <v>4414902.5199999996</v>
      </c>
      <c r="C116" s="65">
        <v>122.89999999999998</v>
      </c>
      <c r="D116" s="17">
        <v>0</v>
      </c>
      <c r="E116" s="83">
        <f>'Pulp Mill'!G194</f>
        <v>0</v>
      </c>
      <c r="F116" s="52">
        <v>5</v>
      </c>
      <c r="G116" s="95">
        <v>352</v>
      </c>
      <c r="H116" s="31">
        <v>156.13415051840798</v>
      </c>
      <c r="I116" s="17">
        <f>'CDM Activity'!F144</f>
        <v>114031.03620830386</v>
      </c>
      <c r="J116" s="94">
        <v>30</v>
      </c>
      <c r="K116" s="17">
        <v>2794</v>
      </c>
      <c r="L116" s="10">
        <f t="shared" si="7"/>
        <v>4654707.7294728383</v>
      </c>
      <c r="M116" s="94">
        <f t="shared" si="8"/>
        <v>239805.20947283879</v>
      </c>
      <c r="N116" s="169">
        <f t="shared" si="9"/>
        <v>5.4317215020375766E-2</v>
      </c>
    </row>
    <row r="117" spans="1:14" x14ac:dyDescent="0.25">
      <c r="A117" s="3">
        <v>42552</v>
      </c>
      <c r="B117" s="25">
        <v>4431809.74</v>
      </c>
      <c r="C117" s="65">
        <v>43.5</v>
      </c>
      <c r="D117" s="17">
        <v>0</v>
      </c>
      <c r="E117" s="83">
        <f>'Pulp Mill'!G195</f>
        <v>0</v>
      </c>
      <c r="F117" s="52">
        <v>36.4</v>
      </c>
      <c r="G117" s="95">
        <v>320</v>
      </c>
      <c r="H117" s="31">
        <v>156.41755007673331</v>
      </c>
      <c r="I117" s="17">
        <f>'CDM Activity'!F145</f>
        <v>112945.7826477847</v>
      </c>
      <c r="J117" s="94">
        <v>31</v>
      </c>
      <c r="K117" s="17">
        <v>2792</v>
      </c>
      <c r="L117" s="10">
        <f t="shared" si="7"/>
        <v>4218035.1547954315</v>
      </c>
      <c r="M117" s="94">
        <f t="shared" si="8"/>
        <v>-213774.58520456869</v>
      </c>
      <c r="N117" s="169">
        <f t="shared" si="9"/>
        <v>4.8236408543244159E-2</v>
      </c>
    </row>
    <row r="118" spans="1:14" x14ac:dyDescent="0.25">
      <c r="A118" s="3">
        <v>42583</v>
      </c>
      <c r="B118" s="25">
        <v>4516193.84</v>
      </c>
      <c r="C118" s="65">
        <v>44.199999999999989</v>
      </c>
      <c r="D118" s="17">
        <v>0</v>
      </c>
      <c r="E118" s="83">
        <f>'Pulp Mill'!G196</f>
        <v>0</v>
      </c>
      <c r="F118" s="52">
        <v>28.3</v>
      </c>
      <c r="G118" s="95">
        <v>352</v>
      </c>
      <c r="H118" s="31">
        <v>156.70146403443502</v>
      </c>
      <c r="I118" s="17">
        <f>'CDM Activity'!F146</f>
        <v>111860.52908726553</v>
      </c>
      <c r="J118" s="94">
        <v>31</v>
      </c>
      <c r="K118" s="17">
        <v>2807</v>
      </c>
      <c r="L118" s="10">
        <f t="shared" si="7"/>
        <v>4221884.9130104715</v>
      </c>
      <c r="M118" s="94">
        <f t="shared" si="8"/>
        <v>-294308.92698952835</v>
      </c>
      <c r="N118" s="169">
        <f t="shared" si="9"/>
        <v>6.5167470090151919E-2</v>
      </c>
    </row>
    <row r="119" spans="1:14" x14ac:dyDescent="0.25">
      <c r="A119" s="3">
        <v>42614</v>
      </c>
      <c r="B119" s="25">
        <v>4301703.93</v>
      </c>
      <c r="C119" s="65">
        <v>145.4</v>
      </c>
      <c r="D119" s="17">
        <v>1</v>
      </c>
      <c r="E119" s="83">
        <f>'Pulp Mill'!G197</f>
        <v>0</v>
      </c>
      <c r="F119" s="52">
        <v>4.3000000000000007</v>
      </c>
      <c r="G119" s="95">
        <v>336</v>
      </c>
      <c r="H119" s="31">
        <v>156.98589332520095</v>
      </c>
      <c r="I119" s="17">
        <f>'CDM Activity'!F147</f>
        <v>110775.27552674637</v>
      </c>
      <c r="J119" s="94">
        <v>30</v>
      </c>
      <c r="K119" s="17">
        <v>2794</v>
      </c>
      <c r="L119" s="10">
        <f t="shared" si="7"/>
        <v>4206581.4841855336</v>
      </c>
      <c r="M119" s="94">
        <f t="shared" si="8"/>
        <v>-95122.445814466104</v>
      </c>
      <c r="N119" s="169">
        <f t="shared" si="9"/>
        <v>2.2112736571916074E-2</v>
      </c>
    </row>
    <row r="120" spans="1:14" x14ac:dyDescent="0.25">
      <c r="A120" s="3">
        <v>42644</v>
      </c>
      <c r="B120" s="25">
        <v>5436230.0300000003</v>
      </c>
      <c r="C120" s="65">
        <v>367.90000000000003</v>
      </c>
      <c r="D120" s="17">
        <v>1</v>
      </c>
      <c r="E120" s="83">
        <f>'Pulp Mill'!G198</f>
        <v>0</v>
      </c>
      <c r="F120" s="52">
        <v>0</v>
      </c>
      <c r="G120" s="95">
        <v>320</v>
      </c>
      <c r="H120" s="31">
        <v>157.27083888441365</v>
      </c>
      <c r="I120" s="17">
        <f>'CDM Activity'!F148</f>
        <v>109690.0219662272</v>
      </c>
      <c r="J120" s="94">
        <v>31</v>
      </c>
      <c r="K120" s="17">
        <v>2804</v>
      </c>
      <c r="L120" s="10">
        <f t="shared" si="7"/>
        <v>5430254.6311089974</v>
      </c>
      <c r="M120" s="94">
        <f t="shared" si="8"/>
        <v>-5975.3988910028711</v>
      </c>
      <c r="N120" s="169">
        <f t="shared" si="9"/>
        <v>1.0991806560847225E-3</v>
      </c>
    </row>
    <row r="121" spans="1:14" x14ac:dyDescent="0.25">
      <c r="A121" s="3">
        <v>42675</v>
      </c>
      <c r="B121" s="25">
        <v>6124824.1500000004</v>
      </c>
      <c r="C121" s="65">
        <v>467.19999999999987</v>
      </c>
      <c r="D121" s="17">
        <v>1</v>
      </c>
      <c r="E121" s="83">
        <f>'Pulp Mill'!G199</f>
        <v>0</v>
      </c>
      <c r="F121" s="52">
        <v>0</v>
      </c>
      <c r="G121" s="95">
        <v>336</v>
      </c>
      <c r="H121" s="31">
        <v>157.55630164915351</v>
      </c>
      <c r="I121" s="17">
        <f>'CDM Activity'!F149</f>
        <v>108604.76840570803</v>
      </c>
      <c r="J121" s="94">
        <v>30</v>
      </c>
      <c r="K121" s="17">
        <v>2804</v>
      </c>
      <c r="L121" s="10">
        <f t="shared" si="7"/>
        <v>5976370.3321854016</v>
      </c>
      <c r="M121" s="94">
        <f t="shared" si="8"/>
        <v>-148453.81781459879</v>
      </c>
      <c r="N121" s="169">
        <f t="shared" si="9"/>
        <v>2.4238053890020463E-2</v>
      </c>
    </row>
    <row r="122" spans="1:14" x14ac:dyDescent="0.25">
      <c r="A122" s="3">
        <v>42705</v>
      </c>
      <c r="B122" s="25">
        <v>9393075.0099999998</v>
      </c>
      <c r="C122" s="65">
        <v>988.5</v>
      </c>
      <c r="D122" s="17">
        <v>0</v>
      </c>
      <c r="E122" s="83">
        <f>'Pulp Mill'!G200</f>
        <v>0</v>
      </c>
      <c r="F122" s="52">
        <v>0</v>
      </c>
      <c r="G122" s="95">
        <v>336</v>
      </c>
      <c r="H122" s="31">
        <v>157.84228255820162</v>
      </c>
      <c r="I122" s="17">
        <f>'CDM Activity'!F150</f>
        <v>107519.51484518887</v>
      </c>
      <c r="J122" s="94">
        <v>31</v>
      </c>
      <c r="K122" s="17">
        <v>2797</v>
      </c>
      <c r="L122" s="10">
        <f t="shared" si="7"/>
        <v>9415208.7450995818</v>
      </c>
      <c r="M122" s="94">
        <f t="shared" si="8"/>
        <v>22133.735099582002</v>
      </c>
      <c r="N122" s="169">
        <f t="shared" si="9"/>
        <v>2.3563886241745238E-3</v>
      </c>
    </row>
    <row r="123" spans="1:14" x14ac:dyDescent="0.25">
      <c r="A123" s="3">
        <v>42736</v>
      </c>
      <c r="B123" s="25"/>
      <c r="C123" s="65">
        <f>(C3+C15+C27+C39+C51+C63+C75+C87+C99+C111)/10</f>
        <v>1113.0699999999997</v>
      </c>
      <c r="D123" s="17">
        <v>0</v>
      </c>
      <c r="E123" s="83">
        <f>'Pulp Mill'!G201</f>
        <v>0</v>
      </c>
      <c r="F123" s="65"/>
      <c r="G123" s="95">
        <v>336</v>
      </c>
      <c r="H123" s="31">
        <v>158.15454692394951</v>
      </c>
      <c r="I123" s="17"/>
      <c r="J123" s="94">
        <v>31</v>
      </c>
      <c r="K123" s="17"/>
      <c r="L123" s="10">
        <f t="shared" si="7"/>
        <v>10100300.717738934</v>
      </c>
      <c r="M123" s="42"/>
      <c r="N123" s="5">
        <f>AVERAGE(N3:N122)</f>
        <v>8.5186234783994244E-2</v>
      </c>
    </row>
    <row r="124" spans="1:14" x14ac:dyDescent="0.25">
      <c r="A124" s="3">
        <v>42767</v>
      </c>
      <c r="B124" s="25"/>
      <c r="C124" s="65">
        <f t="shared" ref="C124:C134" si="10">(C4+C16+C28+C40+C52+C64+C76+C88+C100+C112)/10</f>
        <v>953.58894736842126</v>
      </c>
      <c r="D124" s="17">
        <v>0</v>
      </c>
      <c r="E124" s="83">
        <f>'Pulp Mill'!G202</f>
        <v>0</v>
      </c>
      <c r="F124" s="65"/>
      <c r="G124" s="95">
        <v>304</v>
      </c>
      <c r="H124" s="31">
        <v>158.46742905214063</v>
      </c>
      <c r="I124" s="17"/>
      <c r="J124" s="94">
        <v>28</v>
      </c>
      <c r="K124" s="17"/>
      <c r="L124" s="10">
        <f t="shared" si="7"/>
        <v>9223210.014150843</v>
      </c>
      <c r="M124" s="42"/>
    </row>
    <row r="125" spans="1:14" x14ac:dyDescent="0.25">
      <c r="A125" s="3">
        <v>42795</v>
      </c>
      <c r="B125" s="25"/>
      <c r="C125" s="65">
        <f t="shared" si="10"/>
        <v>750.64210526315799</v>
      </c>
      <c r="D125" s="17">
        <v>1</v>
      </c>
      <c r="E125" s="83">
        <f>'Pulp Mill'!G203</f>
        <v>0</v>
      </c>
      <c r="F125" s="65"/>
      <c r="G125" s="95">
        <v>368</v>
      </c>
      <c r="H125" s="31">
        <v>158.78093016491388</v>
      </c>
      <c r="I125" s="17"/>
      <c r="J125" s="94">
        <v>31</v>
      </c>
      <c r="K125" s="17"/>
      <c r="L125" s="10">
        <f t="shared" si="7"/>
        <v>7535204.0082212687</v>
      </c>
      <c r="M125" s="42"/>
    </row>
    <row r="126" spans="1:14" x14ac:dyDescent="0.25">
      <c r="A126" s="3">
        <v>42826</v>
      </c>
      <c r="B126" s="25"/>
      <c r="C126" s="65">
        <f t="shared" si="10"/>
        <v>492.2847368421053</v>
      </c>
      <c r="D126" s="17">
        <v>1</v>
      </c>
      <c r="E126" s="83">
        <f>'Pulp Mill'!G204</f>
        <v>0</v>
      </c>
      <c r="F126" s="65"/>
      <c r="G126" s="95">
        <v>304</v>
      </c>
      <c r="H126" s="31">
        <v>159.09505148682601</v>
      </c>
      <c r="I126" s="17"/>
      <c r="J126" s="94">
        <v>30</v>
      </c>
      <c r="K126" s="17"/>
      <c r="L126" s="10">
        <f t="shared" si="7"/>
        <v>6114327.7203711364</v>
      </c>
      <c r="M126" s="42"/>
    </row>
    <row r="127" spans="1:14" x14ac:dyDescent="0.25">
      <c r="A127" s="3">
        <v>42856</v>
      </c>
      <c r="B127" s="25"/>
      <c r="C127" s="65">
        <f t="shared" si="10"/>
        <v>260.26000000000005</v>
      </c>
      <c r="D127" s="17">
        <v>1</v>
      </c>
      <c r="E127" s="83">
        <f>'Pulp Mill'!G205</f>
        <v>0</v>
      </c>
      <c r="F127" s="65"/>
      <c r="G127" s="95">
        <v>352</v>
      </c>
      <c r="H127" s="31">
        <v>159.4097942448563</v>
      </c>
      <c r="I127" s="17"/>
      <c r="J127" s="94">
        <v>31</v>
      </c>
      <c r="K127" s="17"/>
      <c r="L127" s="10">
        <f t="shared" si="7"/>
        <v>4838271.8107276876</v>
      </c>
      <c r="M127" s="42"/>
    </row>
    <row r="128" spans="1:14" x14ac:dyDescent="0.25">
      <c r="A128" s="3">
        <v>42887</v>
      </c>
      <c r="B128" s="25"/>
      <c r="C128" s="65">
        <f t="shared" si="10"/>
        <v>89.673684210526318</v>
      </c>
      <c r="D128" s="17">
        <v>0</v>
      </c>
      <c r="E128" s="83">
        <f>'Pulp Mill'!G206</f>
        <v>0</v>
      </c>
      <c r="F128" s="65"/>
      <c r="G128" s="95">
        <v>352</v>
      </c>
      <c r="H128" s="31">
        <v>159.72515966841141</v>
      </c>
      <c r="I128" s="17"/>
      <c r="J128" s="94">
        <v>30</v>
      </c>
      <c r="K128" s="17"/>
      <c r="L128" s="10">
        <f t="shared" si="7"/>
        <v>4471974.4692356344</v>
      </c>
      <c r="M128" s="42"/>
    </row>
    <row r="129" spans="1:13" x14ac:dyDescent="0.25">
      <c r="A129" s="3">
        <v>42917</v>
      </c>
      <c r="B129" s="25"/>
      <c r="C129" s="65">
        <f t="shared" si="10"/>
        <v>35.763684210526314</v>
      </c>
      <c r="D129" s="17">
        <v>0</v>
      </c>
      <c r="E129" s="83">
        <f>'Pulp Mill'!G207</f>
        <v>0</v>
      </c>
      <c r="F129" s="65"/>
      <c r="G129" s="95">
        <v>320</v>
      </c>
      <c r="H129" s="31">
        <v>160.0411489893302</v>
      </c>
      <c r="I129" s="17"/>
      <c r="J129" s="94">
        <v>31</v>
      </c>
      <c r="K129" s="17"/>
      <c r="L129" s="10">
        <f t="shared" si="7"/>
        <v>4175488.0901316162</v>
      </c>
      <c r="M129" s="42"/>
    </row>
    <row r="130" spans="1:13" x14ac:dyDescent="0.25">
      <c r="A130" s="3">
        <v>42948</v>
      </c>
      <c r="B130" s="25"/>
      <c r="C130" s="65">
        <f t="shared" si="10"/>
        <v>49.53368421052631</v>
      </c>
      <c r="D130" s="17">
        <v>0</v>
      </c>
      <c r="E130" s="83">
        <f>'Pulp Mill'!G208</f>
        <v>0</v>
      </c>
      <c r="F130" s="65"/>
      <c r="G130" s="95">
        <v>352</v>
      </c>
      <c r="H130" s="31">
        <v>160.35776344188849</v>
      </c>
      <c r="I130" s="17"/>
      <c r="J130" s="94">
        <v>31</v>
      </c>
      <c r="K130" s="17"/>
      <c r="L130" s="10">
        <f t="shared" si="7"/>
        <v>4251218.3338760482</v>
      </c>
      <c r="M130" s="42"/>
    </row>
    <row r="131" spans="1:13" x14ac:dyDescent="0.25">
      <c r="A131" s="3">
        <v>42979</v>
      </c>
      <c r="B131" s="25"/>
      <c r="C131" s="65">
        <f t="shared" si="10"/>
        <v>162.29315789473685</v>
      </c>
      <c r="D131" s="17">
        <v>1</v>
      </c>
      <c r="E131" s="83">
        <f>'Pulp Mill'!G209</f>
        <v>0</v>
      </c>
      <c r="F131" s="65"/>
      <c r="G131" s="95">
        <v>320</v>
      </c>
      <c r="H131" s="31">
        <v>160.67500426280395</v>
      </c>
      <c r="I131" s="17"/>
      <c r="J131" s="94">
        <v>30</v>
      </c>
      <c r="K131" s="17"/>
      <c r="L131" s="10">
        <f t="shared" si="7"/>
        <v>4299488.0175901521</v>
      </c>
      <c r="M131" s="42"/>
    </row>
    <row r="132" spans="1:13" x14ac:dyDescent="0.25">
      <c r="A132" s="3">
        <v>43009</v>
      </c>
      <c r="B132" s="25"/>
      <c r="C132" s="65">
        <f t="shared" si="10"/>
        <v>383.93315789473684</v>
      </c>
      <c r="D132" s="17">
        <v>1</v>
      </c>
      <c r="E132" s="83">
        <f>'Pulp Mill'!G210</f>
        <v>0</v>
      </c>
      <c r="F132" s="65"/>
      <c r="G132" s="95">
        <v>336</v>
      </c>
      <c r="H132" s="31">
        <v>160.99287269124085</v>
      </c>
      <c r="I132" s="17"/>
      <c r="J132" s="94">
        <v>31</v>
      </c>
      <c r="K132" s="17"/>
      <c r="L132" s="10">
        <f t="shared" ref="L132:L146" si="11">$P$18+C132*$P$19+D132*$P$20+E132*$P$21</f>
        <v>5518431.4615637101</v>
      </c>
      <c r="M132" s="42"/>
    </row>
    <row r="133" spans="1:13" x14ac:dyDescent="0.25">
      <c r="A133" s="3">
        <v>43040</v>
      </c>
      <c r="B133" s="25"/>
      <c r="C133" s="65">
        <f t="shared" si="10"/>
        <v>633.81999999999994</v>
      </c>
      <c r="D133" s="17">
        <v>1</v>
      </c>
      <c r="E133" s="83">
        <f>'Pulp Mill'!G211</f>
        <v>0</v>
      </c>
      <c r="F133" s="65"/>
      <c r="G133" s="95">
        <v>352</v>
      </c>
      <c r="H133" s="31">
        <v>161.31136996881492</v>
      </c>
      <c r="I133" s="17"/>
      <c r="J133" s="94">
        <v>30</v>
      </c>
      <c r="K133" s="17"/>
      <c r="L133" s="10">
        <f t="shared" si="11"/>
        <v>6892722.7804568075</v>
      </c>
      <c r="M133" s="42"/>
    </row>
    <row r="134" spans="1:13" x14ac:dyDescent="0.25">
      <c r="A134" s="3">
        <v>43070</v>
      </c>
      <c r="B134" s="25"/>
      <c r="C134" s="65">
        <f t="shared" si="10"/>
        <v>964.45</v>
      </c>
      <c r="D134" s="17">
        <v>0</v>
      </c>
      <c r="E134" s="83">
        <f>'Pulp Mill'!G212</f>
        <v>0</v>
      </c>
      <c r="F134" s="65"/>
      <c r="G134" s="95">
        <v>304</v>
      </c>
      <c r="H134" s="31">
        <v>161.63049733959846</v>
      </c>
      <c r="I134" s="17"/>
      <c r="J134" s="94">
        <v>31</v>
      </c>
      <c r="K134" s="17"/>
      <c r="L134" s="10">
        <f t="shared" si="11"/>
        <v>9282942.05213999</v>
      </c>
      <c r="M134" s="42"/>
    </row>
    <row r="135" spans="1:13" x14ac:dyDescent="0.25">
      <c r="A135" s="3">
        <v>43101</v>
      </c>
      <c r="B135" s="25"/>
      <c r="C135" s="65">
        <f>C123</f>
        <v>1113.0699999999997</v>
      </c>
      <c r="D135" s="17">
        <v>0</v>
      </c>
      <c r="E135" s="83">
        <f>'Pulp Mill'!G213</f>
        <v>0</v>
      </c>
      <c r="F135" s="65"/>
      <c r="G135" s="31"/>
      <c r="H135" s="31">
        <v>161.95025605012432</v>
      </c>
      <c r="I135" s="17"/>
      <c r="J135" s="94">
        <v>31</v>
      </c>
      <c r="K135" s="17"/>
      <c r="L135" s="10">
        <f t="shared" si="11"/>
        <v>10100300.717738934</v>
      </c>
    </row>
    <row r="136" spans="1:13" x14ac:dyDescent="0.25">
      <c r="A136" s="3">
        <v>43132</v>
      </c>
      <c r="B136" s="25"/>
      <c r="C136" s="65">
        <f t="shared" ref="C136:C146" si="12">C124</f>
        <v>953.58894736842126</v>
      </c>
      <c r="D136" s="17">
        <v>0</v>
      </c>
      <c r="E136" s="83">
        <f>'Pulp Mill'!G214</f>
        <v>0</v>
      </c>
      <c r="F136" s="65"/>
      <c r="G136" s="31"/>
      <c r="H136" s="31">
        <v>162.27064734939202</v>
      </c>
      <c r="I136" s="17"/>
      <c r="J136" s="94">
        <v>28</v>
      </c>
      <c r="K136" s="17"/>
      <c r="L136" s="10">
        <f t="shared" si="11"/>
        <v>9223210.014150843</v>
      </c>
    </row>
    <row r="137" spans="1:13" x14ac:dyDescent="0.25">
      <c r="A137" s="3">
        <v>43160</v>
      </c>
      <c r="B137" s="25"/>
      <c r="C137" s="65">
        <f t="shared" si="12"/>
        <v>750.64210526315799</v>
      </c>
      <c r="D137" s="17">
        <v>1</v>
      </c>
      <c r="E137" s="83">
        <f>'Pulp Mill'!G215</f>
        <v>0</v>
      </c>
      <c r="F137" s="65"/>
      <c r="G137" s="31"/>
      <c r="H137" s="31">
        <v>162.59167248887184</v>
      </c>
      <c r="I137" s="17"/>
      <c r="J137" s="94">
        <v>31</v>
      </c>
      <c r="K137" s="17"/>
      <c r="L137" s="10">
        <f t="shared" si="11"/>
        <v>7535204.0082212687</v>
      </c>
    </row>
    <row r="138" spans="1:13" x14ac:dyDescent="0.25">
      <c r="A138" s="3">
        <v>43191</v>
      </c>
      <c r="B138" s="25"/>
      <c r="C138" s="65">
        <f t="shared" si="12"/>
        <v>492.2847368421053</v>
      </c>
      <c r="D138" s="17">
        <v>1</v>
      </c>
      <c r="E138" s="83">
        <f>'Pulp Mill'!G216</f>
        <v>0</v>
      </c>
      <c r="F138" s="65"/>
      <c r="G138" s="31"/>
      <c r="H138" s="31">
        <v>162.91333272250986</v>
      </c>
      <c r="I138" s="17"/>
      <c r="J138" s="94">
        <v>30</v>
      </c>
      <c r="K138" s="17"/>
      <c r="L138" s="10">
        <f t="shared" si="11"/>
        <v>6114327.7203711364</v>
      </c>
    </row>
    <row r="139" spans="1:13" x14ac:dyDescent="0.25">
      <c r="A139" s="3">
        <v>43221</v>
      </c>
      <c r="C139" s="65">
        <f t="shared" si="12"/>
        <v>260.26000000000005</v>
      </c>
      <c r="D139" s="91">
        <v>1</v>
      </c>
      <c r="E139" s="83">
        <f>'Pulp Mill'!G217</f>
        <v>0</v>
      </c>
      <c r="H139" s="32">
        <v>163.23562930673287</v>
      </c>
      <c r="J139" s="94">
        <v>31</v>
      </c>
      <c r="L139" s="10">
        <f t="shared" si="11"/>
        <v>4838271.8107276876</v>
      </c>
    </row>
    <row r="140" spans="1:13" x14ac:dyDescent="0.25">
      <c r="A140" s="3">
        <v>43252</v>
      </c>
      <c r="C140" s="65">
        <f t="shared" si="12"/>
        <v>89.673684210526318</v>
      </c>
      <c r="D140" s="91">
        <v>0</v>
      </c>
      <c r="E140" s="83">
        <f>'Pulp Mill'!G218</f>
        <v>0</v>
      </c>
      <c r="H140" s="32">
        <v>163.55856350045332</v>
      </c>
      <c r="J140" s="94">
        <v>30</v>
      </c>
      <c r="L140" s="10">
        <f t="shared" si="11"/>
        <v>4471974.4692356344</v>
      </c>
    </row>
    <row r="141" spans="1:13" x14ac:dyDescent="0.25">
      <c r="A141" s="3">
        <v>43282</v>
      </c>
      <c r="C141" s="65">
        <f t="shared" si="12"/>
        <v>35.763684210526314</v>
      </c>
      <c r="D141" s="91">
        <v>0</v>
      </c>
      <c r="E141" s="83">
        <f>'Pulp Mill'!G219</f>
        <v>0</v>
      </c>
      <c r="H141" s="32">
        <v>163.88213656507418</v>
      </c>
      <c r="J141" s="94">
        <v>31</v>
      </c>
      <c r="L141" s="10">
        <f t="shared" si="11"/>
        <v>4175488.0901316162</v>
      </c>
    </row>
    <row r="142" spans="1:13" x14ac:dyDescent="0.25">
      <c r="A142" s="3">
        <v>43313</v>
      </c>
      <c r="C142" s="65">
        <f t="shared" si="12"/>
        <v>49.53368421052631</v>
      </c>
      <c r="D142" s="91">
        <v>0</v>
      </c>
      <c r="E142" s="83">
        <f>'Pulp Mill'!G220</f>
        <v>0</v>
      </c>
      <c r="H142" s="32">
        <v>164.20634976449389</v>
      </c>
      <c r="J142" s="94">
        <v>31</v>
      </c>
      <c r="L142" s="10">
        <f t="shared" si="11"/>
        <v>4251218.3338760482</v>
      </c>
    </row>
    <row r="143" spans="1:13" x14ac:dyDescent="0.25">
      <c r="A143" s="3">
        <v>43344</v>
      </c>
      <c r="C143" s="65">
        <f t="shared" si="12"/>
        <v>162.29315789473685</v>
      </c>
      <c r="D143" s="91">
        <v>1</v>
      </c>
      <c r="E143" s="83">
        <f>'Pulp Mill'!G221</f>
        <v>0</v>
      </c>
      <c r="H143" s="32">
        <v>164.53120436511134</v>
      </c>
      <c r="J143" s="94">
        <v>30</v>
      </c>
      <c r="L143" s="10">
        <f t="shared" si="11"/>
        <v>4299488.0175901521</v>
      </c>
    </row>
    <row r="144" spans="1:13" x14ac:dyDescent="0.25">
      <c r="A144" s="3">
        <v>43374</v>
      </c>
      <c r="C144" s="65">
        <f t="shared" si="12"/>
        <v>383.93315789473684</v>
      </c>
      <c r="D144" s="91">
        <v>1</v>
      </c>
      <c r="E144" s="83">
        <f>'Pulp Mill'!G222</f>
        <v>0</v>
      </c>
      <c r="H144" s="32">
        <v>164.85670163583072</v>
      </c>
      <c r="J144" s="94">
        <v>31</v>
      </c>
      <c r="L144" s="10">
        <f t="shared" si="11"/>
        <v>5518431.4615637101</v>
      </c>
    </row>
    <row r="145" spans="1:38" x14ac:dyDescent="0.25">
      <c r="A145" s="3">
        <v>43405</v>
      </c>
      <c r="C145" s="65">
        <f t="shared" si="12"/>
        <v>633.81999999999994</v>
      </c>
      <c r="D145" s="91">
        <v>1</v>
      </c>
      <c r="E145" s="83">
        <f>'Pulp Mill'!G223</f>
        <v>0</v>
      </c>
      <c r="H145" s="32">
        <v>165.18284284806657</v>
      </c>
      <c r="J145" s="94">
        <v>30</v>
      </c>
      <c r="L145" s="10">
        <f t="shared" si="11"/>
        <v>6892722.7804568075</v>
      </c>
    </row>
    <row r="146" spans="1:38" x14ac:dyDescent="0.25">
      <c r="A146" s="3">
        <v>43435</v>
      </c>
      <c r="C146" s="65">
        <f t="shared" si="12"/>
        <v>964.45</v>
      </c>
      <c r="D146" s="91">
        <v>0</v>
      </c>
      <c r="E146" s="83">
        <f>'Pulp Mill'!G224</f>
        <v>0</v>
      </c>
      <c r="H146" s="32">
        <v>165.18636828106963</v>
      </c>
      <c r="J146" s="94">
        <v>31</v>
      </c>
      <c r="L146" s="10">
        <f t="shared" si="11"/>
        <v>9282942.05213999</v>
      </c>
    </row>
    <row r="147" spans="1:38" x14ac:dyDescent="0.25">
      <c r="A147" s="3"/>
    </row>
    <row r="148" spans="1:38" x14ac:dyDescent="0.25">
      <c r="A148" s="3"/>
      <c r="C148" s="21"/>
      <c r="F148" s="21"/>
      <c r="L148" s="42">
        <f>SUM(L3:L147)</f>
        <v>967948096.54240823</v>
      </c>
    </row>
    <row r="149" spans="1:38" x14ac:dyDescent="0.25">
      <c r="A149" s="3"/>
      <c r="M149" s="163" t="s">
        <v>173</v>
      </c>
      <c r="N149" s="164" t="s">
        <v>185</v>
      </c>
    </row>
    <row r="150" spans="1:38" s="91" customFormat="1" x14ac:dyDescent="0.25">
      <c r="A150" s="16">
        <v>2007</v>
      </c>
      <c r="B150" s="6">
        <f>SUM(B3:B14)</f>
        <v>93884880</v>
      </c>
      <c r="G150" s="32"/>
      <c r="H150" s="32"/>
      <c r="L150" s="6">
        <f>SUM(L3:L14)</f>
        <v>93451827.500962675</v>
      </c>
      <c r="M150" s="6">
        <f>'Purchased Power Model WN'!L150</f>
        <v>93560243.060319334</v>
      </c>
      <c r="N150" s="22">
        <f>M150/L150</f>
        <v>1.0011601224101856</v>
      </c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</row>
    <row r="151" spans="1:38" s="91" customFormat="1" x14ac:dyDescent="0.25">
      <c r="A151">
        <v>2008</v>
      </c>
      <c r="B151" s="6">
        <f>SUM(B15:B26)</f>
        <v>81867475</v>
      </c>
      <c r="G151" s="32"/>
      <c r="H151" s="32"/>
      <c r="L151" s="6">
        <f>SUM(L15:L26)</f>
        <v>85259100.60203144</v>
      </c>
      <c r="M151" s="6">
        <f>'Purchased Power Model WN'!L151</f>
        <v>82833275.324973106</v>
      </c>
      <c r="N151" s="22">
        <f t="shared" ref="N151:N161" si="13">M151/L151</f>
        <v>0.97154760887777258</v>
      </c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</row>
    <row r="152" spans="1:38" s="91" customFormat="1" x14ac:dyDescent="0.25">
      <c r="A152" s="16">
        <v>2009</v>
      </c>
      <c r="B152" s="6">
        <f>SUM(B27:B38)</f>
        <v>76016629</v>
      </c>
      <c r="G152" s="32"/>
      <c r="H152" s="32"/>
      <c r="L152" s="6">
        <f>SUM(L27:L38)</f>
        <v>77177027.372777522</v>
      </c>
      <c r="M152" s="6">
        <f>'Purchased Power Model WN'!L152</f>
        <v>76703579.476203829</v>
      </c>
      <c r="N152" s="22">
        <f t="shared" si="13"/>
        <v>0.99386542974392023</v>
      </c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</row>
    <row r="153" spans="1:38" s="91" customFormat="1" x14ac:dyDescent="0.25">
      <c r="A153">
        <v>2010</v>
      </c>
      <c r="B153" s="6">
        <f>SUM(B39:B50)</f>
        <v>74719842</v>
      </c>
      <c r="G153" s="32"/>
      <c r="H153" s="32"/>
      <c r="L153" s="6">
        <f>SUM(L39:L50)</f>
        <v>75440016.775785387</v>
      </c>
      <c r="M153" s="6">
        <f>'Purchased Power Model WN'!L153</f>
        <v>79002215.419492304</v>
      </c>
      <c r="N153" s="22">
        <f t="shared" si="13"/>
        <v>1.047218953493795</v>
      </c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</row>
    <row r="154" spans="1:38" s="91" customFormat="1" x14ac:dyDescent="0.25">
      <c r="A154">
        <v>2011</v>
      </c>
      <c r="B154" s="6">
        <f>SUM(B51:B62)</f>
        <v>76399313</v>
      </c>
      <c r="G154" s="32"/>
      <c r="H154" s="32"/>
      <c r="L154" s="6">
        <f>SUM(L51:L62)</f>
        <v>75267547.298117638</v>
      </c>
      <c r="M154" s="6">
        <f>'Purchased Power Model WN'!L154</f>
        <v>76703579.476203829</v>
      </c>
      <c r="N154" s="22">
        <f t="shared" si="13"/>
        <v>1.0190790351171986</v>
      </c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</row>
    <row r="155" spans="1:38" s="91" customFormat="1" x14ac:dyDescent="0.25">
      <c r="A155">
        <v>2012</v>
      </c>
      <c r="B155" s="6">
        <f>SUM(B63:B74)</f>
        <v>75601634</v>
      </c>
      <c r="G155" s="32"/>
      <c r="H155" s="32"/>
      <c r="L155" s="6">
        <f>SUM(L63:L74)</f>
        <v>71564079.895249054</v>
      </c>
      <c r="M155" s="6">
        <f>'Purchased Power Model WN'!L155</f>
        <v>76703579.476203829</v>
      </c>
      <c r="N155" s="22">
        <f t="shared" si="13"/>
        <v>1.0718167492473549</v>
      </c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</row>
    <row r="156" spans="1:38" s="91" customFormat="1" x14ac:dyDescent="0.25">
      <c r="A156">
        <v>2013</v>
      </c>
      <c r="B156" s="6">
        <f>SUM(B75:B86)</f>
        <v>87692322.840000004</v>
      </c>
      <c r="G156" s="32"/>
      <c r="H156" s="32"/>
      <c r="L156" s="6">
        <f>SUM(L75:L86)</f>
        <v>88405736.764243901</v>
      </c>
      <c r="M156" s="6">
        <f>'Purchased Power Model WN'!L156</f>
        <v>83599487.306069255</v>
      </c>
      <c r="N156" s="22">
        <f t="shared" si="13"/>
        <v>0.94563419033550145</v>
      </c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</row>
    <row r="157" spans="1:38" s="91" customFormat="1" x14ac:dyDescent="0.25">
      <c r="A157">
        <v>2014</v>
      </c>
      <c r="B157" s="6">
        <f>SUM(B87:B98)</f>
        <v>89519316.590000004</v>
      </c>
      <c r="G157" s="32"/>
      <c r="H157" s="32"/>
      <c r="L157" s="6">
        <f>SUM(L87:L98)</f>
        <v>90214179.810000777</v>
      </c>
      <c r="M157" s="6">
        <f>'Purchased Power Model WN'!L157</f>
        <v>85898123.24935773</v>
      </c>
      <c r="N157" s="22">
        <f t="shared" si="13"/>
        <v>0.95215767000561269</v>
      </c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</row>
    <row r="158" spans="1:38" s="91" customFormat="1" x14ac:dyDescent="0.25">
      <c r="A158" s="16">
        <v>2015</v>
      </c>
      <c r="B158" s="6">
        <f>SUM(B99:B110)</f>
        <v>83393450.549999982</v>
      </c>
      <c r="G158" s="32"/>
      <c r="H158" s="32"/>
      <c r="L158" s="6">
        <f>SUM(L99:L110)</f>
        <v>82676462.805198818</v>
      </c>
      <c r="M158" s="6">
        <f>'Purchased Power Model WN'!L158</f>
        <v>82833275.324973106</v>
      </c>
      <c r="N158" s="22">
        <f t="shared" si="13"/>
        <v>1.0018967008801982</v>
      </c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</row>
    <row r="159" spans="1:38" s="91" customFormat="1" x14ac:dyDescent="0.25">
      <c r="A159">
        <v>2016</v>
      </c>
      <c r="B159" s="6">
        <f>SUM(B111:B122)</f>
        <v>75446074.609999999</v>
      </c>
      <c r="G159" s="32"/>
      <c r="H159" s="32"/>
      <c r="L159" s="6">
        <f>SUM(L111:L122)</f>
        <v>75084958.765632868</v>
      </c>
      <c r="M159" s="6">
        <f>'Purchased Power Model WN'!L159</f>
        <v>76703579.476203829</v>
      </c>
      <c r="N159" s="22">
        <f t="shared" si="13"/>
        <v>1.0215571898444169</v>
      </c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</row>
    <row r="160" spans="1:38" s="91" customFormat="1" x14ac:dyDescent="0.25">
      <c r="A160" s="16">
        <v>2017</v>
      </c>
      <c r="B160" s="6"/>
      <c r="G160" s="32"/>
      <c r="H160" s="32"/>
      <c r="L160" s="6">
        <f>SUM(L123:L134)</f>
        <v>76703579.476203829</v>
      </c>
      <c r="M160" s="6">
        <f>'Purchased Power Model WN'!L160</f>
        <v>76703579.476203829</v>
      </c>
      <c r="N160" s="22">
        <f t="shared" si="13"/>
        <v>1</v>
      </c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</row>
    <row r="161" spans="1:38" s="91" customFormat="1" x14ac:dyDescent="0.25">
      <c r="A161">
        <v>2018</v>
      </c>
      <c r="B161" s="6"/>
      <c r="G161" s="32"/>
      <c r="H161" s="32"/>
      <c r="L161" s="6">
        <f>SUM(L135:L146)</f>
        <v>76703579.476203829</v>
      </c>
      <c r="M161" s="6">
        <f>'Purchased Power Model WN'!L161</f>
        <v>76703579.476203829</v>
      </c>
      <c r="N161" s="22">
        <f t="shared" si="13"/>
        <v>1</v>
      </c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</row>
    <row r="162" spans="1:38" s="91" customFormat="1" x14ac:dyDescent="0.25">
      <c r="A162"/>
      <c r="B162" s="6"/>
      <c r="G162" s="32"/>
      <c r="H162" s="32"/>
      <c r="L162" s="6"/>
      <c r="M162" s="3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</row>
    <row r="163" spans="1:38" s="91" customFormat="1" x14ac:dyDescent="0.25">
      <c r="A163"/>
      <c r="B163" s="6"/>
      <c r="G163" s="32"/>
      <c r="H163" s="32"/>
      <c r="L163" s="6"/>
      <c r="M163" s="32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</row>
    <row r="164" spans="1:38" s="91" customFormat="1" x14ac:dyDescent="0.25">
      <c r="A164"/>
      <c r="B164" s="6"/>
      <c r="G164" s="32"/>
      <c r="H164" s="32"/>
      <c r="L164" s="6"/>
      <c r="M164" s="6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</row>
    <row r="165" spans="1:38" s="91" customFormat="1" x14ac:dyDescent="0.25">
      <c r="A165" s="67" t="s">
        <v>121</v>
      </c>
      <c r="B165" s="6">
        <f>SUM(B150:B159)</f>
        <v>814540937.59000003</v>
      </c>
      <c r="G165" s="32"/>
      <c r="H165" s="32"/>
      <c r="L165" s="6">
        <f>SUM(L150:L159)</f>
        <v>814540937.59000003</v>
      </c>
      <c r="M165" s="6">
        <f>B165-L165</f>
        <v>0</v>
      </c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</row>
    <row r="166" spans="1:38" s="91" customFormat="1" x14ac:dyDescent="0.25">
      <c r="A166"/>
      <c r="B166" s="6"/>
      <c r="G166" s="32"/>
      <c r="H166" s="32"/>
      <c r="M166" s="32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</row>
    <row r="167" spans="1:38" s="91" customFormat="1" x14ac:dyDescent="0.25">
      <c r="A167"/>
      <c r="B167" s="6"/>
      <c r="G167" s="32"/>
      <c r="H167" s="32"/>
      <c r="L167" s="6">
        <f>SUM(L150:L161)</f>
        <v>967948096.54240763</v>
      </c>
      <c r="M167" s="6">
        <f>L167-L148</f>
        <v>0</v>
      </c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</row>
    <row r="168" spans="1:38" s="91" customFormat="1" x14ac:dyDescent="0.25">
      <c r="A168"/>
      <c r="B168" s="6"/>
      <c r="G168" s="32"/>
      <c r="H168" s="32"/>
      <c r="L168" s="21"/>
      <c r="M168" s="32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</row>
    <row r="169" spans="1:38" s="91" customFormat="1" x14ac:dyDescent="0.25">
      <c r="A169"/>
      <c r="B169" s="6"/>
      <c r="G169" s="32"/>
      <c r="H169" s="32"/>
      <c r="M169" s="32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</row>
    <row r="170" spans="1:38" s="91" customFormat="1" x14ac:dyDescent="0.25">
      <c r="A170" t="s">
        <v>101</v>
      </c>
      <c r="B170" s="6"/>
      <c r="G170" s="32"/>
      <c r="H170" s="32"/>
      <c r="M170" s="32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</row>
    <row r="171" spans="1:38" s="91" customFormat="1" x14ac:dyDescent="0.25">
      <c r="A171" s="3">
        <v>43101</v>
      </c>
      <c r="B171" s="25"/>
      <c r="C171" s="65">
        <f>'Weather Analysis'!AA8</f>
        <v>1137.0333082706766</v>
      </c>
      <c r="D171" s="17">
        <v>0</v>
      </c>
      <c r="E171" s="17">
        <v>0</v>
      </c>
      <c r="F171" s="65"/>
      <c r="G171" s="31"/>
      <c r="H171" s="31">
        <v>161.95025605012432</v>
      </c>
      <c r="I171" s="17"/>
      <c r="J171" s="94">
        <v>31</v>
      </c>
      <c r="K171" s="17"/>
      <c r="L171" s="10">
        <f t="shared" ref="L171:L182" si="14">$P$18+C171*$P$19+D171*$P$21</f>
        <v>10232090.636131186</v>
      </c>
      <c r="M171" s="32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</row>
    <row r="172" spans="1:38" s="91" customFormat="1" x14ac:dyDescent="0.25">
      <c r="A172" s="3">
        <v>43132</v>
      </c>
      <c r="B172" s="25"/>
      <c r="C172" s="65">
        <f>'Weather Analysis'!AA9</f>
        <v>1024.0144558765351</v>
      </c>
      <c r="D172" s="17">
        <v>0</v>
      </c>
      <c r="E172" s="17">
        <v>0</v>
      </c>
      <c r="F172" s="65"/>
      <c r="G172" s="31"/>
      <c r="H172" s="31">
        <v>162.27064734939202</v>
      </c>
      <c r="I172" s="17"/>
      <c r="J172" s="94">
        <v>28</v>
      </c>
      <c r="K172" s="17"/>
      <c r="L172" s="10">
        <f t="shared" si="14"/>
        <v>9610525.985475827</v>
      </c>
      <c r="M172" s="3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</row>
    <row r="173" spans="1:38" s="91" customFormat="1" x14ac:dyDescent="0.25">
      <c r="A173" s="3">
        <v>43160</v>
      </c>
      <c r="B173" s="25"/>
      <c r="C173" s="65">
        <f>'Weather Analysis'!AA10</f>
        <v>753.34695290858724</v>
      </c>
      <c r="D173" s="17">
        <v>1</v>
      </c>
      <c r="E173" s="17">
        <v>0</v>
      </c>
      <c r="F173" s="65"/>
      <c r="G173" s="31"/>
      <c r="H173" s="31">
        <v>162.59167248887184</v>
      </c>
      <c r="I173" s="17"/>
      <c r="J173" s="94">
        <v>31</v>
      </c>
      <c r="K173" s="17"/>
      <c r="L173" s="10">
        <f t="shared" si="14"/>
        <v>9654372.1718177851</v>
      </c>
      <c r="M173" s="32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</row>
    <row r="174" spans="1:38" s="91" customFormat="1" x14ac:dyDescent="0.25">
      <c r="A174" s="3">
        <v>43191</v>
      </c>
      <c r="B174" s="25"/>
      <c r="C174" s="65">
        <f>'Weather Analysis'!AA11</f>
        <v>524.69603878116322</v>
      </c>
      <c r="D174" s="17">
        <v>1</v>
      </c>
      <c r="E174" s="17">
        <v>0</v>
      </c>
      <c r="F174" s="65"/>
      <c r="G174" s="31"/>
      <c r="H174" s="31">
        <v>162.91333272250986</v>
      </c>
      <c r="I174" s="17"/>
      <c r="J174" s="94">
        <v>30</v>
      </c>
      <c r="K174" s="17"/>
      <c r="L174" s="10">
        <f t="shared" si="14"/>
        <v>8396871.1217628121</v>
      </c>
      <c r="M174" s="32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</row>
    <row r="175" spans="1:38" s="91" customFormat="1" x14ac:dyDescent="0.25">
      <c r="A175" s="3">
        <v>43221</v>
      </c>
      <c r="B175" s="6"/>
      <c r="C175" s="65">
        <f>'Weather Analysis'!AA12</f>
        <v>265.52563909774426</v>
      </c>
      <c r="D175" s="96">
        <v>1</v>
      </c>
      <c r="E175" s="17">
        <v>0</v>
      </c>
      <c r="F175" s="96"/>
      <c r="G175" s="32"/>
      <c r="H175" s="32">
        <v>163.23562930673287</v>
      </c>
      <c r="I175" s="96"/>
      <c r="J175" s="94">
        <v>31</v>
      </c>
      <c r="K175" s="96"/>
      <c r="L175" s="10">
        <f t="shared" si="14"/>
        <v>6971523.442796424</v>
      </c>
      <c r="M175" s="32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</row>
    <row r="176" spans="1:38" s="91" customFormat="1" x14ac:dyDescent="0.25">
      <c r="A176" s="3">
        <v>43252</v>
      </c>
      <c r="B176" s="6"/>
      <c r="C176" s="65">
        <f>'Weather Analysis'!AA13</f>
        <v>92.712975860704319</v>
      </c>
      <c r="D176" s="96">
        <v>0</v>
      </c>
      <c r="E176" s="17">
        <v>0</v>
      </c>
      <c r="F176" s="96"/>
      <c r="G176" s="32"/>
      <c r="H176" s="32">
        <v>163.55856350045332</v>
      </c>
      <c r="I176" s="96"/>
      <c r="J176" s="94">
        <v>30</v>
      </c>
      <c r="K176" s="96"/>
      <c r="L176" s="10">
        <f t="shared" si="14"/>
        <v>4488689.5235187421</v>
      </c>
      <c r="M176" s="32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</row>
    <row r="177" spans="1:38" s="91" customFormat="1" x14ac:dyDescent="0.25">
      <c r="A177" s="3">
        <v>43282</v>
      </c>
      <c r="B177" s="6"/>
      <c r="C177" s="65">
        <f>'Weather Analysis'!AA14</f>
        <v>41.264705184012655</v>
      </c>
      <c r="D177" s="96">
        <v>0</v>
      </c>
      <c r="E177" s="17">
        <v>0</v>
      </c>
      <c r="F177" s="96"/>
      <c r="G177" s="32"/>
      <c r="H177" s="32">
        <v>163.88213656507418</v>
      </c>
      <c r="I177" s="96"/>
      <c r="J177" s="94">
        <v>31</v>
      </c>
      <c r="K177" s="96"/>
      <c r="L177" s="10">
        <f t="shared" si="14"/>
        <v>4205741.8053941689</v>
      </c>
      <c r="M177" s="32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</row>
    <row r="178" spans="1:38" s="91" customFormat="1" x14ac:dyDescent="0.25">
      <c r="A178" s="3">
        <v>43313</v>
      </c>
      <c r="B178" s="6"/>
      <c r="C178" s="65">
        <f>'Weather Analysis'!AA15</f>
        <v>55.400645033636692</v>
      </c>
      <c r="D178" s="96">
        <v>0</v>
      </c>
      <c r="E178" s="17">
        <v>0</v>
      </c>
      <c r="F178" s="96"/>
      <c r="G178" s="32"/>
      <c r="H178" s="32">
        <v>164.20634976449389</v>
      </c>
      <c r="I178" s="96"/>
      <c r="J178" s="94">
        <v>31</v>
      </c>
      <c r="K178" s="96"/>
      <c r="L178" s="10">
        <f t="shared" si="14"/>
        <v>4283484.5919133164</v>
      </c>
      <c r="M178" s="32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</row>
    <row r="179" spans="1:38" s="91" customFormat="1" x14ac:dyDescent="0.25">
      <c r="A179" s="3">
        <v>43344</v>
      </c>
      <c r="B179" s="6"/>
      <c r="C179" s="65">
        <f>'Weather Analysis'!AA16</f>
        <v>156.58264740799359</v>
      </c>
      <c r="D179" s="96">
        <v>1</v>
      </c>
      <c r="E179" s="17">
        <v>0</v>
      </c>
      <c r="F179" s="96"/>
      <c r="G179" s="32"/>
      <c r="H179" s="32">
        <v>164.53120436511134</v>
      </c>
      <c r="I179" s="96"/>
      <c r="J179" s="94">
        <v>30</v>
      </c>
      <c r="K179" s="96"/>
      <c r="L179" s="10">
        <f t="shared" si="14"/>
        <v>6372374.6181840459</v>
      </c>
      <c r="M179" s="32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</row>
    <row r="180" spans="1:38" s="91" customFormat="1" x14ac:dyDescent="0.25">
      <c r="A180" s="3">
        <v>43374</v>
      </c>
      <c r="B180" s="6"/>
      <c r="C180" s="65">
        <f>'Weather Analysis'!AA17</f>
        <v>372.91009101701638</v>
      </c>
      <c r="D180" s="96">
        <v>1</v>
      </c>
      <c r="E180" s="17">
        <v>0</v>
      </c>
      <c r="F180" s="96"/>
      <c r="G180" s="32"/>
      <c r="H180" s="32">
        <v>164.85670163583072</v>
      </c>
      <c r="I180" s="96"/>
      <c r="J180" s="94">
        <v>31</v>
      </c>
      <c r="K180" s="96"/>
      <c r="L180" s="10">
        <f t="shared" si="14"/>
        <v>7562100.837001849</v>
      </c>
      <c r="M180" s="32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</row>
    <row r="181" spans="1:38" s="91" customFormat="1" x14ac:dyDescent="0.25">
      <c r="A181" s="3">
        <v>43405</v>
      </c>
      <c r="B181" s="6"/>
      <c r="C181" s="65">
        <f>'Weather Analysis'!AA18</f>
        <v>618.38345864661642</v>
      </c>
      <c r="D181" s="96">
        <v>1</v>
      </c>
      <c r="E181" s="17">
        <v>0</v>
      </c>
      <c r="F181" s="96"/>
      <c r="G181" s="32"/>
      <c r="H181" s="32">
        <v>165.18284284806657</v>
      </c>
      <c r="I181" s="96"/>
      <c r="J181" s="94">
        <v>30</v>
      </c>
      <c r="K181" s="96"/>
      <c r="L181" s="10">
        <f t="shared" si="14"/>
        <v>8912119.5707241558</v>
      </c>
      <c r="M181" s="32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</row>
    <row r="182" spans="1:38" s="91" customFormat="1" x14ac:dyDescent="0.25">
      <c r="A182" s="3">
        <v>43435</v>
      </c>
      <c r="B182" s="6"/>
      <c r="C182" s="65">
        <f>'Weather Analysis'!AA19</f>
        <v>951.3690225563912</v>
      </c>
      <c r="D182" s="96">
        <v>0</v>
      </c>
      <c r="E182" s="17">
        <v>0</v>
      </c>
      <c r="F182" s="96"/>
      <c r="G182" s="32"/>
      <c r="H182" s="32">
        <v>165.18636828106963</v>
      </c>
      <c r="I182" s="96"/>
      <c r="J182" s="94">
        <v>31</v>
      </c>
      <c r="K182" s="96"/>
      <c r="L182" s="10">
        <f t="shared" si="14"/>
        <v>9211001.1944624372</v>
      </c>
      <c r="M182" s="32">
        <f>SUM(L171:L182)</f>
        <v>89900895.499182746</v>
      </c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</row>
    <row r="183" spans="1:38" s="91" customFormat="1" x14ac:dyDescent="0.25">
      <c r="A183" s="3"/>
      <c r="B183" s="25"/>
      <c r="C183" s="65"/>
      <c r="D183" s="17"/>
      <c r="E183" s="17"/>
      <c r="F183" s="65"/>
      <c r="G183" s="31"/>
      <c r="H183" s="31"/>
      <c r="I183" s="65"/>
      <c r="J183" s="17"/>
      <c r="K183" s="17"/>
      <c r="L183" s="10"/>
      <c r="M183" s="32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</row>
    <row r="184" spans="1:38" s="91" customFormat="1" x14ac:dyDescent="0.25">
      <c r="A184"/>
      <c r="B184" s="6"/>
      <c r="G184" s="32"/>
      <c r="H184" s="32"/>
      <c r="M184" s="32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</row>
    <row r="185" spans="1:38" s="91" customFormat="1" x14ac:dyDescent="0.25">
      <c r="B185" s="6"/>
      <c r="G185" s="32"/>
      <c r="H185" s="32"/>
      <c r="M185" s="32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</row>
    <row r="186" spans="1:38" s="91" customFormat="1" x14ac:dyDescent="0.25">
      <c r="A186" s="3"/>
      <c r="B186" s="25"/>
      <c r="C186" s="65"/>
      <c r="D186" s="17"/>
      <c r="E186" s="65"/>
      <c r="F186" s="65"/>
      <c r="G186" s="31"/>
      <c r="H186" s="31"/>
      <c r="I186" s="65"/>
      <c r="J186" s="17"/>
      <c r="K186" s="17"/>
      <c r="L186" s="10"/>
      <c r="M186" s="32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</row>
    <row r="187" spans="1:38" s="91" customFormat="1" x14ac:dyDescent="0.25">
      <c r="A187" s="3"/>
      <c r="B187" s="25"/>
      <c r="C187" s="65"/>
      <c r="D187" s="17"/>
      <c r="E187" s="17"/>
      <c r="F187" s="65"/>
      <c r="G187" s="31"/>
      <c r="H187" s="31"/>
      <c r="I187" s="65"/>
      <c r="J187" s="17"/>
      <c r="K187" s="17"/>
      <c r="L187" s="10"/>
      <c r="M187" s="32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</row>
    <row r="188" spans="1:38" s="91" customFormat="1" x14ac:dyDescent="0.25">
      <c r="A188" s="3"/>
      <c r="B188" s="25"/>
      <c r="C188" s="65"/>
      <c r="D188" s="17"/>
      <c r="E188" s="17"/>
      <c r="F188" s="65"/>
      <c r="G188" s="31"/>
      <c r="H188" s="31"/>
      <c r="I188" s="65"/>
      <c r="J188" s="17"/>
      <c r="K188" s="17"/>
      <c r="L188" s="10"/>
      <c r="M188" s="32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</row>
    <row r="189" spans="1:38" s="91" customFormat="1" x14ac:dyDescent="0.25">
      <c r="A189" s="3"/>
      <c r="B189" s="25"/>
      <c r="C189" s="65"/>
      <c r="D189" s="17"/>
      <c r="E189" s="17"/>
      <c r="F189" s="65"/>
      <c r="G189" s="31"/>
      <c r="H189" s="31"/>
      <c r="I189" s="65"/>
      <c r="J189" s="17"/>
      <c r="K189" s="17"/>
      <c r="L189" s="10"/>
      <c r="M189" s="32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</row>
    <row r="190" spans="1:38" s="91" customFormat="1" x14ac:dyDescent="0.25">
      <c r="A190" s="3"/>
      <c r="B190" s="25"/>
      <c r="C190" s="65"/>
      <c r="D190" s="17"/>
      <c r="E190" s="17"/>
      <c r="F190" s="65"/>
      <c r="G190" s="31"/>
      <c r="H190" s="31"/>
      <c r="I190" s="65"/>
      <c r="J190" s="17"/>
      <c r="K190" s="17"/>
      <c r="L190" s="10"/>
      <c r="M190" s="32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</row>
    <row r="191" spans="1:38" s="91" customFormat="1" x14ac:dyDescent="0.25">
      <c r="A191" s="3"/>
      <c r="B191" s="25"/>
      <c r="C191" s="65"/>
      <c r="D191" s="17"/>
      <c r="E191" s="17"/>
      <c r="F191" s="65"/>
      <c r="G191" s="31"/>
      <c r="H191" s="31"/>
      <c r="I191" s="65"/>
      <c r="J191" s="17"/>
      <c r="K191" s="17"/>
      <c r="L191" s="10"/>
      <c r="M191" s="32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</row>
    <row r="192" spans="1:38" s="91" customFormat="1" x14ac:dyDescent="0.25">
      <c r="A192" s="3"/>
      <c r="B192" s="25"/>
      <c r="C192" s="65"/>
      <c r="D192" s="17"/>
      <c r="E192" s="17"/>
      <c r="F192" s="65"/>
      <c r="G192" s="31"/>
      <c r="H192" s="31"/>
      <c r="I192" s="65"/>
      <c r="J192" s="17"/>
      <c r="K192" s="17"/>
      <c r="L192" s="10"/>
      <c r="M192" s="3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</row>
    <row r="193" spans="1:38" s="91" customFormat="1" x14ac:dyDescent="0.25">
      <c r="A193" s="3"/>
      <c r="B193" s="25"/>
      <c r="C193" s="65"/>
      <c r="D193" s="17"/>
      <c r="E193" s="17"/>
      <c r="F193" s="65"/>
      <c r="G193" s="31"/>
      <c r="H193" s="31"/>
      <c r="I193" s="65"/>
      <c r="J193" s="17"/>
      <c r="K193" s="17"/>
      <c r="L193" s="10"/>
      <c r="M193" s="32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</row>
    <row r="194" spans="1:38" s="91" customFormat="1" x14ac:dyDescent="0.25">
      <c r="A194" s="3"/>
      <c r="B194" s="25"/>
      <c r="C194" s="65"/>
      <c r="D194" s="17"/>
      <c r="E194" s="17"/>
      <c r="F194" s="65"/>
      <c r="G194" s="31"/>
      <c r="H194" s="31"/>
      <c r="I194" s="65"/>
      <c r="J194" s="17"/>
      <c r="K194" s="17"/>
      <c r="L194" s="10"/>
      <c r="M194" s="32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</row>
    <row r="195" spans="1:38" s="91" customFormat="1" x14ac:dyDescent="0.25">
      <c r="A195" s="3"/>
      <c r="B195" s="25"/>
      <c r="C195" s="65"/>
      <c r="D195" s="17"/>
      <c r="E195" s="17"/>
      <c r="F195" s="65"/>
      <c r="G195" s="31"/>
      <c r="H195" s="31"/>
      <c r="I195" s="65"/>
      <c r="J195" s="17"/>
      <c r="K195" s="17"/>
      <c r="L195" s="10"/>
      <c r="M195" s="32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</row>
    <row r="196" spans="1:38" s="91" customFormat="1" x14ac:dyDescent="0.25">
      <c r="A196" s="3"/>
      <c r="B196" s="25"/>
      <c r="C196" s="65"/>
      <c r="D196" s="17"/>
      <c r="E196" s="17"/>
      <c r="F196" s="65"/>
      <c r="G196" s="31"/>
      <c r="H196" s="31"/>
      <c r="I196" s="65"/>
      <c r="J196" s="17"/>
      <c r="K196" s="17"/>
      <c r="L196" s="10"/>
      <c r="M196" s="32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</row>
    <row r="197" spans="1:38" s="91" customFormat="1" x14ac:dyDescent="0.25">
      <c r="A197" s="3"/>
      <c r="B197" s="25"/>
      <c r="C197" s="65"/>
      <c r="D197" s="17"/>
      <c r="E197" s="17"/>
      <c r="F197" s="65"/>
      <c r="G197" s="31"/>
      <c r="H197" s="31"/>
      <c r="I197" s="65"/>
      <c r="J197" s="17"/>
      <c r="K197" s="17"/>
      <c r="L197" s="10"/>
      <c r="M197" s="32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</row>
    <row r="198" spans="1:38" s="91" customFormat="1" x14ac:dyDescent="0.25">
      <c r="A198"/>
      <c r="B198" s="6"/>
      <c r="G198" s="32"/>
      <c r="H198" s="32"/>
      <c r="M198" s="32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</row>
    <row r="199" spans="1:38" s="91" customFormat="1" x14ac:dyDescent="0.25">
      <c r="A199"/>
      <c r="B199" s="6"/>
      <c r="G199" s="32"/>
      <c r="H199" s="32"/>
      <c r="M199" s="32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</row>
    <row r="200" spans="1:38" s="91" customFormat="1" x14ac:dyDescent="0.25">
      <c r="A200"/>
      <c r="B200" s="6"/>
      <c r="G200" s="32"/>
      <c r="H200" s="32"/>
      <c r="M200" s="32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</row>
    <row r="201" spans="1:38" s="91" customFormat="1" x14ac:dyDescent="0.25">
      <c r="A201"/>
      <c r="B201" s="6"/>
      <c r="G201" s="32"/>
      <c r="H201" s="32"/>
      <c r="M201" s="32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</row>
    <row r="202" spans="1:38" s="91" customFormat="1" x14ac:dyDescent="0.25">
      <c r="A202"/>
      <c r="B202" s="6"/>
      <c r="G202" s="32"/>
      <c r="H202" s="32"/>
      <c r="M202" s="3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</row>
    <row r="203" spans="1:38" s="91" customFormat="1" x14ac:dyDescent="0.25">
      <c r="A203"/>
      <c r="B203" s="6"/>
      <c r="G203" s="32"/>
      <c r="H203" s="32"/>
      <c r="M203" s="32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</row>
    <row r="204" spans="1:38" s="91" customFormat="1" x14ac:dyDescent="0.25">
      <c r="A204"/>
      <c r="B204" s="6"/>
      <c r="G204" s="32"/>
      <c r="H204" s="32"/>
      <c r="M204" s="32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</row>
    <row r="205" spans="1:38" s="91" customFormat="1" x14ac:dyDescent="0.25">
      <c r="A205"/>
      <c r="B205" s="6"/>
      <c r="G205" s="32"/>
      <c r="H205" s="32"/>
      <c r="M205" s="32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</row>
    <row r="206" spans="1:38" s="91" customFormat="1" x14ac:dyDescent="0.25">
      <c r="A206"/>
      <c r="B206" s="6"/>
      <c r="G206" s="32"/>
      <c r="H206" s="32"/>
      <c r="M206" s="32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</row>
    <row r="207" spans="1:38" s="91" customFormat="1" x14ac:dyDescent="0.25">
      <c r="A207"/>
      <c r="B207" s="6"/>
      <c r="G207" s="32"/>
      <c r="H207" s="32"/>
      <c r="M207" s="32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</row>
    <row r="208" spans="1:38" s="91" customFormat="1" x14ac:dyDescent="0.25">
      <c r="A208"/>
      <c r="B208" s="6"/>
      <c r="G208" s="32"/>
      <c r="H208" s="32"/>
      <c r="M208" s="32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</row>
    <row r="209" spans="1:38" s="91" customFormat="1" x14ac:dyDescent="0.25">
      <c r="A209"/>
      <c r="B209" s="6"/>
      <c r="G209" s="32"/>
      <c r="H209" s="32"/>
      <c r="M209" s="32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</row>
    <row r="210" spans="1:38" s="91" customFormat="1" x14ac:dyDescent="0.25">
      <c r="A210"/>
      <c r="B210" s="6"/>
      <c r="G210" s="32"/>
      <c r="H210" s="32"/>
      <c r="M210" s="32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</row>
    <row r="211" spans="1:38" s="91" customFormat="1" x14ac:dyDescent="0.25">
      <c r="A211"/>
      <c r="B211" s="6"/>
      <c r="G211" s="32"/>
      <c r="H211" s="32"/>
      <c r="M211" s="32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</row>
    <row r="212" spans="1:38" s="91" customFormat="1" x14ac:dyDescent="0.25">
      <c r="A212"/>
      <c r="B212" s="6"/>
      <c r="G212" s="32"/>
      <c r="H212" s="32"/>
      <c r="M212" s="3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</row>
    <row r="213" spans="1:38" s="91" customFormat="1" x14ac:dyDescent="0.25">
      <c r="A213"/>
      <c r="B213" s="6"/>
      <c r="G213" s="32"/>
      <c r="H213" s="32"/>
      <c r="M213" s="32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</row>
    <row r="214" spans="1:38" s="91" customFormat="1" x14ac:dyDescent="0.25">
      <c r="A214"/>
      <c r="B214" s="6"/>
      <c r="G214" s="32"/>
      <c r="H214" s="32"/>
      <c r="M214" s="32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</row>
    <row r="215" spans="1:38" s="91" customFormat="1" x14ac:dyDescent="0.25">
      <c r="A215"/>
      <c r="B215" s="6"/>
      <c r="G215" s="32"/>
      <c r="H215" s="32"/>
      <c r="M215" s="32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</row>
    <row r="216" spans="1:38" s="91" customFormat="1" x14ac:dyDescent="0.25">
      <c r="A216"/>
      <c r="B216" s="6"/>
      <c r="G216" s="32"/>
      <c r="H216" s="32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</row>
    <row r="217" spans="1:38" s="91" customFormat="1" x14ac:dyDescent="0.25">
      <c r="A217"/>
      <c r="B217" s="6"/>
      <c r="G217" s="32"/>
      <c r="H217" s="32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</row>
    <row r="226" spans="13:15" x14ac:dyDescent="0.25">
      <c r="O226" s="5"/>
    </row>
    <row r="227" spans="13:15" x14ac:dyDescent="0.25">
      <c r="M227" s="35" t="e">
        <f>#REF!-#REF!</f>
        <v>#REF!</v>
      </c>
      <c r="N227" s="5" t="e">
        <f>M227/#REF!</f>
        <v>#REF!</v>
      </c>
      <c r="O227" s="5" t="e">
        <f>ABS(N227)</f>
        <v>#REF!</v>
      </c>
    </row>
    <row r="228" spans="13:15" x14ac:dyDescent="0.25">
      <c r="M228" s="35" t="e">
        <f>#REF!-#REF!</f>
        <v>#REF!</v>
      </c>
      <c r="N228" s="5" t="e">
        <f>M228/#REF!</f>
        <v>#REF!</v>
      </c>
      <c r="O228" s="5" t="e">
        <f t="shared" ref="O228:O238" si="15">ABS(N228)</f>
        <v>#REF!</v>
      </c>
    </row>
    <row r="229" spans="13:15" x14ac:dyDescent="0.25">
      <c r="M229" s="35" t="e">
        <f>#REF!-#REF!</f>
        <v>#REF!</v>
      </c>
      <c r="N229" s="5" t="e">
        <f>M229/#REF!</f>
        <v>#REF!</v>
      </c>
      <c r="O229" s="5" t="e">
        <f t="shared" si="15"/>
        <v>#REF!</v>
      </c>
    </row>
    <row r="230" spans="13:15" x14ac:dyDescent="0.25">
      <c r="M230" s="35" t="e">
        <f>#REF!-#REF!</f>
        <v>#REF!</v>
      </c>
      <c r="N230" s="5" t="e">
        <f>M230/#REF!</f>
        <v>#REF!</v>
      </c>
      <c r="O230" s="5" t="e">
        <f t="shared" si="15"/>
        <v>#REF!</v>
      </c>
    </row>
    <row r="231" spans="13:15" x14ac:dyDescent="0.25">
      <c r="M231" s="35" t="e">
        <f>#REF!-#REF!</f>
        <v>#REF!</v>
      </c>
      <c r="N231" s="5" t="e">
        <f>M231/#REF!</f>
        <v>#REF!</v>
      </c>
      <c r="O231" s="5" t="e">
        <f t="shared" si="15"/>
        <v>#REF!</v>
      </c>
    </row>
    <row r="232" spans="13:15" x14ac:dyDescent="0.25">
      <c r="M232" s="35" t="e">
        <f>#REF!-#REF!</f>
        <v>#REF!</v>
      </c>
      <c r="N232" s="5" t="e">
        <f>M232/#REF!</f>
        <v>#REF!</v>
      </c>
      <c r="O232" s="5" t="e">
        <f t="shared" si="15"/>
        <v>#REF!</v>
      </c>
    </row>
    <row r="233" spans="13:15" x14ac:dyDescent="0.25">
      <c r="M233" s="35" t="e">
        <f>#REF!-#REF!</f>
        <v>#REF!</v>
      </c>
      <c r="N233" s="5" t="e">
        <f>M233/#REF!</f>
        <v>#REF!</v>
      </c>
      <c r="O233" s="5" t="e">
        <f t="shared" si="15"/>
        <v>#REF!</v>
      </c>
    </row>
    <row r="234" spans="13:15" x14ac:dyDescent="0.25">
      <c r="M234" s="35">
        <f>L150-B150</f>
        <v>-433052.49903732538</v>
      </c>
      <c r="N234" s="5">
        <f>M234/B150</f>
        <v>-4.6125904302942644E-3</v>
      </c>
      <c r="O234" s="5">
        <f t="shared" si="15"/>
        <v>4.6125904302942644E-3</v>
      </c>
    </row>
    <row r="235" spans="13:15" x14ac:dyDescent="0.25">
      <c r="M235" s="35">
        <f>L151-B151</f>
        <v>3391625.6020314395</v>
      </c>
      <c r="N235" s="5">
        <f>M235/B151</f>
        <v>4.1428242437322509E-2</v>
      </c>
      <c r="O235" s="5">
        <f t="shared" si="15"/>
        <v>4.1428242437322509E-2</v>
      </c>
    </row>
    <row r="236" spans="13:15" x14ac:dyDescent="0.25">
      <c r="M236" s="35">
        <f>L152-B152</f>
        <v>1160398.3727775216</v>
      </c>
      <c r="N236" s="5">
        <f>M236/B152</f>
        <v>1.5265059606596363E-2</v>
      </c>
      <c r="O236" s="5">
        <f t="shared" si="15"/>
        <v>1.5265059606596363E-2</v>
      </c>
    </row>
    <row r="237" spans="13:15" x14ac:dyDescent="0.25">
      <c r="M237" s="35">
        <f>L153-B153</f>
        <v>720174.77578538656</v>
      </c>
      <c r="N237" s="5">
        <f>M237/B153</f>
        <v>9.6383337612703547E-3</v>
      </c>
      <c r="O237" s="5">
        <f t="shared" si="15"/>
        <v>9.6383337612703547E-3</v>
      </c>
    </row>
    <row r="238" spans="13:15" x14ac:dyDescent="0.25">
      <c r="M238" s="35">
        <f>L154-B154</f>
        <v>-1131765.7018823624</v>
      </c>
      <c r="N238" s="5">
        <f>M238/B154</f>
        <v>-1.4813820405457865E-2</v>
      </c>
      <c r="O238" s="5">
        <f t="shared" si="15"/>
        <v>1.4813820405457865E-2</v>
      </c>
    </row>
    <row r="249" spans="13:16" x14ac:dyDescent="0.25">
      <c r="M249" s="6">
        <f>L165-B165</f>
        <v>0</v>
      </c>
      <c r="O249" s="68" t="e">
        <f>AVERAGE(O227:O238)</f>
        <v>#REF!</v>
      </c>
      <c r="P249" s="67" t="s">
        <v>97</v>
      </c>
    </row>
    <row r="251" spans="13:16" x14ac:dyDescent="0.25">
      <c r="M251" s="42">
        <f>L148-L167</f>
        <v>0</v>
      </c>
    </row>
    <row r="252" spans="13:16" x14ac:dyDescent="0.25">
      <c r="M252" s="21" t="s">
        <v>58</v>
      </c>
      <c r="N252" s="21"/>
    </row>
    <row r="266" spans="1:38" s="91" customFormat="1" x14ac:dyDescent="0.25">
      <c r="A266"/>
      <c r="B266" s="6"/>
      <c r="G266" s="32"/>
      <c r="H266" s="32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</row>
    <row r="267" spans="1:38" s="91" customFormat="1" x14ac:dyDescent="0.25">
      <c r="A267"/>
      <c r="B267" s="6"/>
      <c r="G267" s="32"/>
      <c r="H267" s="32"/>
      <c r="M267" s="42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</row>
    <row r="269" spans="1:38" s="91" customFormat="1" x14ac:dyDescent="0.25">
      <c r="A269"/>
      <c r="B269" s="6"/>
      <c r="G269" s="32"/>
      <c r="H269" s="32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</row>
    <row r="270" spans="1:38" s="91" customFormat="1" x14ac:dyDescent="0.25">
      <c r="A270"/>
      <c r="B270" s="6"/>
      <c r="G270" s="32"/>
      <c r="H270" s="32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</row>
    <row r="271" spans="1:38" s="91" customFormat="1" x14ac:dyDescent="0.25">
      <c r="A271"/>
      <c r="B271" s="6"/>
      <c r="G271" s="32"/>
      <c r="H271" s="32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</row>
    <row r="272" spans="1:38" s="91" customFormat="1" x14ac:dyDescent="0.25">
      <c r="A272"/>
      <c r="B272" s="6"/>
      <c r="G272" s="32"/>
      <c r="H272" s="3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</row>
    <row r="273" spans="1:38" s="91" customFormat="1" x14ac:dyDescent="0.25">
      <c r="A273"/>
      <c r="B273" s="6"/>
      <c r="G273" s="32"/>
      <c r="H273" s="32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</row>
    <row r="274" spans="1:38" s="91" customFormat="1" x14ac:dyDescent="0.25">
      <c r="A274"/>
      <c r="B274" s="6"/>
      <c r="G274" s="32"/>
      <c r="H274" s="32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</row>
    <row r="275" spans="1:38" s="91" customFormat="1" x14ac:dyDescent="0.25">
      <c r="A275"/>
      <c r="B275" s="6"/>
      <c r="G275" s="32"/>
      <c r="H275" s="32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</row>
    <row r="276" spans="1:38" s="91" customFormat="1" x14ac:dyDescent="0.25">
      <c r="A276"/>
      <c r="B276" s="6"/>
      <c r="G276" s="32"/>
      <c r="H276" s="32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</row>
    <row r="277" spans="1:38" s="91" customFormat="1" x14ac:dyDescent="0.25">
      <c r="A277"/>
      <c r="B277" s="6"/>
      <c r="G277" s="32"/>
      <c r="H277" s="32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</row>
    <row r="278" spans="1:38" s="91" customFormat="1" x14ac:dyDescent="0.25">
      <c r="A278"/>
      <c r="B278" s="6"/>
      <c r="G278" s="32"/>
      <c r="H278" s="32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</row>
    <row r="279" spans="1:38" s="91" customFormat="1" x14ac:dyDescent="0.25">
      <c r="A279"/>
      <c r="B279" s="6"/>
      <c r="G279" s="32"/>
      <c r="H279" s="32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</row>
    <row r="280" spans="1:38" s="91" customFormat="1" x14ac:dyDescent="0.25">
      <c r="A280"/>
      <c r="B280" s="6"/>
      <c r="G280" s="32"/>
      <c r="H280" s="32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</row>
    <row r="281" spans="1:38" s="91" customFormat="1" x14ac:dyDescent="0.25">
      <c r="A281"/>
      <c r="B281" s="6"/>
      <c r="G281" s="32"/>
      <c r="H281" s="32"/>
      <c r="M281" s="42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</row>
  </sheetData>
  <pageMargins left="0.38" right="0.75" top="0.73" bottom="0.74" header="0.5" footer="0.5"/>
  <pageSetup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68"/>
  <sheetViews>
    <sheetView topLeftCell="A142" zoomScaleNormal="100" workbookViewId="0">
      <selection activeCell="A170" sqref="A170:M183"/>
    </sheetView>
  </sheetViews>
  <sheetFormatPr defaultRowHeight="12.5" x14ac:dyDescent="0.25"/>
  <cols>
    <col min="1" max="1" width="11.81640625" customWidth="1"/>
    <col min="2" max="2" width="18" style="6" customWidth="1"/>
    <col min="3" max="3" width="11.7265625" style="171" customWidth="1"/>
    <col min="4" max="5" width="12.453125" style="171" customWidth="1"/>
    <col min="6" max="6" width="13.453125" style="171" hidden="1" customWidth="1"/>
    <col min="7" max="8" width="14.453125" style="32" hidden="1" customWidth="1"/>
    <col min="9" max="9" width="12.453125" style="171" hidden="1" customWidth="1"/>
    <col min="10" max="10" width="10.1796875" style="171" hidden="1" customWidth="1"/>
    <col min="11" max="11" width="12.453125" style="171" hidden="1" customWidth="1"/>
    <col min="12" max="12" width="15.453125" style="171" bestFit="1" customWidth="1"/>
    <col min="13" max="13" width="17" style="171" customWidth="1"/>
    <col min="14" max="14" width="14.26953125" style="171" customWidth="1"/>
    <col min="15" max="15" width="25.81640625" bestFit="1" customWidth="1"/>
    <col min="16" max="18" width="18" customWidth="1"/>
    <col min="19" max="19" width="17.1796875" customWidth="1"/>
    <col min="20" max="21" width="15.7265625" customWidth="1"/>
    <col min="22" max="22" width="15" customWidth="1"/>
    <col min="23" max="24" width="14.1796875" bestFit="1" customWidth="1"/>
    <col min="25" max="25" width="11.7265625" bestFit="1" customWidth="1"/>
    <col min="26" max="26" width="11.81640625" bestFit="1" customWidth="1"/>
    <col min="27" max="27" width="12.54296875" customWidth="1"/>
    <col min="28" max="28" width="11.26953125" customWidth="1"/>
    <col min="29" max="29" width="11.54296875" customWidth="1"/>
    <col min="30" max="30" width="9.26953125" customWidth="1"/>
    <col min="32" max="32" width="11.7265625" bestFit="1" customWidth="1"/>
    <col min="33" max="33" width="10.7265625" bestFit="1" customWidth="1"/>
  </cols>
  <sheetData>
    <row r="1" spans="1:20" x14ac:dyDescent="0.25">
      <c r="D1"/>
      <c r="E1"/>
      <c r="F1" s="172" t="s">
        <v>93</v>
      </c>
      <c r="G1" s="173"/>
      <c r="H1" s="173"/>
      <c r="I1" s="173"/>
      <c r="J1" s="173"/>
      <c r="K1" s="173"/>
    </row>
    <row r="2" spans="1:20" ht="42" customHeight="1" x14ac:dyDescent="0.25">
      <c r="B2" s="69" t="s">
        <v>0</v>
      </c>
      <c r="C2" s="63" t="s">
        <v>3</v>
      </c>
      <c r="D2" s="63" t="s">
        <v>19</v>
      </c>
      <c r="E2" s="63" t="s">
        <v>75</v>
      </c>
      <c r="F2" s="63" t="s">
        <v>4</v>
      </c>
      <c r="G2" s="64" t="s">
        <v>132</v>
      </c>
      <c r="H2" s="64" t="s">
        <v>6</v>
      </c>
      <c r="I2" s="63" t="s">
        <v>73</v>
      </c>
      <c r="J2" s="63" t="s">
        <v>5</v>
      </c>
      <c r="K2" s="63" t="s">
        <v>60</v>
      </c>
      <c r="L2" s="11" t="s">
        <v>11</v>
      </c>
      <c r="M2" s="11" t="s">
        <v>12</v>
      </c>
      <c r="N2" s="11" t="s">
        <v>13</v>
      </c>
      <c r="O2" t="s">
        <v>20</v>
      </c>
    </row>
    <row r="3" spans="1:20" ht="13" thickBot="1" x14ac:dyDescent="0.3">
      <c r="A3" s="3">
        <v>39083</v>
      </c>
      <c r="B3" s="25">
        <v>14119378</v>
      </c>
      <c r="C3" s="52">
        <f>'Purchased Power Model '!C123</f>
        <v>1113.0699999999997</v>
      </c>
      <c r="D3" s="17">
        <v>0</v>
      </c>
      <c r="E3" s="83">
        <f>'Pulp Mill'!G81</f>
        <v>1</v>
      </c>
      <c r="F3" s="52">
        <v>0</v>
      </c>
      <c r="G3" s="25">
        <v>351.91199999999998</v>
      </c>
      <c r="H3" s="33">
        <v>137.552207546647</v>
      </c>
      <c r="I3" s="17">
        <f>'CDM Activity'!F31</f>
        <v>24223.732920078659</v>
      </c>
      <c r="J3" s="93">
        <v>31</v>
      </c>
      <c r="K3" s="17">
        <v>2732</v>
      </c>
      <c r="L3" s="10">
        <f>$P$18+C3*$P$19+D3*$P$20+E3*$P$21</f>
        <v>11632724.679931251</v>
      </c>
      <c r="M3" s="94">
        <f t="shared" ref="M3:M34" si="0">L3-B3</f>
        <v>-2486653.3200687487</v>
      </c>
      <c r="N3" s="169">
        <f t="shared" ref="N3:N34" si="1">ABS(M3/B3)</f>
        <v>0.17611635017270227</v>
      </c>
    </row>
    <row r="4" spans="1:20" ht="13" x14ac:dyDescent="0.3">
      <c r="A4" s="3">
        <v>39114</v>
      </c>
      <c r="B4" s="25">
        <v>10868916</v>
      </c>
      <c r="C4" s="52">
        <f>'Purchased Power Model '!C124</f>
        <v>953.58894736842126</v>
      </c>
      <c r="D4" s="17">
        <v>0</v>
      </c>
      <c r="E4" s="83">
        <f>'Pulp Mill'!G82</f>
        <v>1</v>
      </c>
      <c r="F4" s="52">
        <v>0</v>
      </c>
      <c r="G4" s="25">
        <v>319.87200000000001</v>
      </c>
      <c r="H4" s="33">
        <v>137.77938620066888</v>
      </c>
      <c r="I4" s="17">
        <f>'CDM Activity'!F32</f>
        <v>25774.588658781726</v>
      </c>
      <c r="J4" s="93">
        <v>28</v>
      </c>
      <c r="K4" s="17">
        <v>2730</v>
      </c>
      <c r="L4" s="10">
        <f t="shared" ref="L4:L67" si="2">$P$18+C4*$P$19+D4*$P$20+E4*$P$21</f>
        <v>10755633.97634316</v>
      </c>
      <c r="M4" s="94">
        <f t="shared" si="0"/>
        <v>-113282.0236568395</v>
      </c>
      <c r="N4" s="169">
        <f t="shared" si="1"/>
        <v>1.0422568695612287E-2</v>
      </c>
      <c r="O4" s="48" t="s">
        <v>21</v>
      </c>
      <c r="P4" s="48"/>
    </row>
    <row r="5" spans="1:20" x14ac:dyDescent="0.25">
      <c r="A5" s="3">
        <v>39142</v>
      </c>
      <c r="B5" s="25">
        <v>8892721</v>
      </c>
      <c r="C5" s="52">
        <f>'Purchased Power Model '!C125</f>
        <v>750.64210526315799</v>
      </c>
      <c r="D5" s="17">
        <v>1</v>
      </c>
      <c r="E5" s="83">
        <f>'Pulp Mill'!G83</f>
        <v>1</v>
      </c>
      <c r="F5" s="52">
        <v>0</v>
      </c>
      <c r="G5" s="25">
        <v>351.91199999999998</v>
      </c>
      <c r="H5" s="33">
        <v>138.00694005870795</v>
      </c>
      <c r="I5" s="17">
        <f>'CDM Activity'!F33</f>
        <v>27325.444397484793</v>
      </c>
      <c r="J5" s="93">
        <v>31</v>
      </c>
      <c r="K5" s="17">
        <v>2730</v>
      </c>
      <c r="L5" s="10">
        <f t="shared" si="2"/>
        <v>9067627.9704135861</v>
      </c>
      <c r="M5" s="94">
        <f t="shared" si="0"/>
        <v>174906.97041358612</v>
      </c>
      <c r="N5" s="169">
        <f t="shared" si="1"/>
        <v>1.9668554811692184E-2</v>
      </c>
      <c r="O5" s="34" t="s">
        <v>22</v>
      </c>
      <c r="P5" s="51">
        <v>0.9010477208330141</v>
      </c>
    </row>
    <row r="6" spans="1:20" x14ac:dyDescent="0.25">
      <c r="A6" s="3">
        <v>39173</v>
      </c>
      <c r="B6" s="25">
        <v>7904780</v>
      </c>
      <c r="C6" s="52">
        <f>'Purchased Power Model '!C126</f>
        <v>492.2847368421053</v>
      </c>
      <c r="D6" s="17">
        <v>1</v>
      </c>
      <c r="E6" s="83">
        <f>'Pulp Mill'!G84</f>
        <v>1</v>
      </c>
      <c r="F6" s="52">
        <v>0</v>
      </c>
      <c r="G6" s="25">
        <v>319.68</v>
      </c>
      <c r="H6" s="33">
        <v>138.23486974044414</v>
      </c>
      <c r="I6" s="17">
        <f>'CDM Activity'!F34</f>
        <v>28876.30013618786</v>
      </c>
      <c r="J6" s="93">
        <v>30</v>
      </c>
      <c r="K6" s="17">
        <v>2727</v>
      </c>
      <c r="L6" s="10">
        <f t="shared" si="2"/>
        <v>7646751.6825634539</v>
      </c>
      <c r="M6" s="94">
        <f t="shared" si="0"/>
        <v>-258028.31743654609</v>
      </c>
      <c r="N6" s="169">
        <f t="shared" si="1"/>
        <v>3.2642061820385398E-2</v>
      </c>
      <c r="O6" s="34" t="s">
        <v>23</v>
      </c>
      <c r="P6" s="51">
        <v>0.81188699521836938</v>
      </c>
    </row>
    <row r="7" spans="1:20" x14ac:dyDescent="0.25">
      <c r="A7" s="3">
        <v>39203</v>
      </c>
      <c r="B7" s="25">
        <v>5870493</v>
      </c>
      <c r="C7" s="52">
        <f>'Purchased Power Model '!C127</f>
        <v>260.26000000000005</v>
      </c>
      <c r="D7" s="17">
        <v>1</v>
      </c>
      <c r="E7" s="83">
        <f>'Pulp Mill'!G85</f>
        <v>1</v>
      </c>
      <c r="F7" s="52">
        <v>3.9</v>
      </c>
      <c r="G7" s="25">
        <v>351.91199999999998</v>
      </c>
      <c r="H7" s="33">
        <v>138.46317586658083</v>
      </c>
      <c r="I7" s="17">
        <f>'CDM Activity'!F35</f>
        <v>30427.155874890926</v>
      </c>
      <c r="J7" s="93">
        <v>31</v>
      </c>
      <c r="K7" s="17">
        <v>2719</v>
      </c>
      <c r="L7" s="10">
        <f t="shared" si="2"/>
        <v>6370695.772920005</v>
      </c>
      <c r="M7" s="94">
        <f t="shared" si="0"/>
        <v>500202.77292000502</v>
      </c>
      <c r="N7" s="169">
        <f t="shared" si="1"/>
        <v>8.5206263412630767E-2</v>
      </c>
      <c r="O7" s="34" t="s">
        <v>24</v>
      </c>
      <c r="P7" s="51">
        <v>0.80867138829902518</v>
      </c>
    </row>
    <row r="8" spans="1:20" x14ac:dyDescent="0.25">
      <c r="A8" s="3">
        <v>39234</v>
      </c>
      <c r="B8" s="25">
        <v>5847586</v>
      </c>
      <c r="C8" s="52">
        <f>'Purchased Power Model '!C128</f>
        <v>89.673684210526318</v>
      </c>
      <c r="D8" s="17">
        <v>0</v>
      </c>
      <c r="E8" s="83">
        <f>'Pulp Mill'!G86</f>
        <v>1</v>
      </c>
      <c r="F8" s="52">
        <v>39</v>
      </c>
      <c r="G8" s="25">
        <v>336.24</v>
      </c>
      <c r="H8" s="33">
        <v>138.69185905884657</v>
      </c>
      <c r="I8" s="17">
        <f>'CDM Activity'!F36</f>
        <v>31978.011613593993</v>
      </c>
      <c r="J8" s="93">
        <v>30</v>
      </c>
      <c r="K8" s="17">
        <v>2728</v>
      </c>
      <c r="L8" s="10">
        <f t="shared" si="2"/>
        <v>6004398.4314279519</v>
      </c>
      <c r="M8" s="94">
        <f t="shared" si="0"/>
        <v>156812.4314279519</v>
      </c>
      <c r="N8" s="169">
        <f t="shared" si="1"/>
        <v>2.6816609696369047E-2</v>
      </c>
      <c r="O8" s="34" t="s">
        <v>25</v>
      </c>
      <c r="P8" s="50">
        <v>1011864.1538035827</v>
      </c>
    </row>
    <row r="9" spans="1:20" ht="13" thickBot="1" x14ac:dyDescent="0.3">
      <c r="A9" s="3">
        <v>39264</v>
      </c>
      <c r="B9" s="25">
        <v>6204926</v>
      </c>
      <c r="C9" s="52">
        <f>'Purchased Power Model '!C129</f>
        <v>35.763684210526314</v>
      </c>
      <c r="D9" s="17">
        <v>0</v>
      </c>
      <c r="E9" s="83">
        <f>'Pulp Mill'!G87</f>
        <v>1</v>
      </c>
      <c r="F9" s="52">
        <v>85.600000000000009</v>
      </c>
      <c r="G9" s="25">
        <v>336.28800000000001</v>
      </c>
      <c r="H9" s="33">
        <v>138.92091993999671</v>
      </c>
      <c r="I9" s="17">
        <f>'CDM Activity'!F37</f>
        <v>33528.867352297064</v>
      </c>
      <c r="J9" s="93">
        <v>31</v>
      </c>
      <c r="K9" s="17">
        <v>2728</v>
      </c>
      <c r="L9" s="10">
        <f t="shared" si="2"/>
        <v>5707912.0523239337</v>
      </c>
      <c r="M9" s="94">
        <f t="shared" si="0"/>
        <v>-497013.94767606631</v>
      </c>
      <c r="N9" s="169">
        <f t="shared" si="1"/>
        <v>8.0099899285836176E-2</v>
      </c>
      <c r="O9" s="46" t="s">
        <v>26</v>
      </c>
      <c r="P9" s="46">
        <v>120</v>
      </c>
    </row>
    <row r="10" spans="1:20" x14ac:dyDescent="0.25">
      <c r="A10" s="3">
        <v>39295</v>
      </c>
      <c r="B10" s="25">
        <v>5861607</v>
      </c>
      <c r="C10" s="52">
        <f>'Purchased Power Model '!C130</f>
        <v>49.53368421052631</v>
      </c>
      <c r="D10" s="17">
        <v>0</v>
      </c>
      <c r="E10" s="83">
        <f>'Pulp Mill'!G88</f>
        <v>1</v>
      </c>
      <c r="F10" s="52">
        <v>31.199999999999996</v>
      </c>
      <c r="G10" s="25">
        <v>351.91199999999998</v>
      </c>
      <c r="H10" s="33">
        <v>139.15035913381516</v>
      </c>
      <c r="I10" s="17">
        <f>'CDM Activity'!F38</f>
        <v>35079.723091000131</v>
      </c>
      <c r="J10" s="93">
        <v>31</v>
      </c>
      <c r="K10" s="17">
        <v>2744</v>
      </c>
      <c r="L10" s="10">
        <f t="shared" si="2"/>
        <v>5783642.2960683657</v>
      </c>
      <c r="M10" s="94">
        <f t="shared" si="0"/>
        <v>-77964.703931634314</v>
      </c>
      <c r="N10" s="169">
        <f t="shared" si="1"/>
        <v>1.3300909448831066E-2</v>
      </c>
    </row>
    <row r="11" spans="1:20" ht="13" thickBot="1" x14ac:dyDescent="0.3">
      <c r="A11" s="3">
        <v>39326</v>
      </c>
      <c r="B11" s="25">
        <v>6506948</v>
      </c>
      <c r="C11" s="52">
        <f>'Purchased Power Model '!C131</f>
        <v>162.29315789473685</v>
      </c>
      <c r="D11" s="17">
        <v>1</v>
      </c>
      <c r="E11" s="83">
        <f>'Pulp Mill'!G89</f>
        <v>1</v>
      </c>
      <c r="F11" s="52">
        <v>3.6</v>
      </c>
      <c r="G11" s="25">
        <v>303.83999999999997</v>
      </c>
      <c r="H11" s="33">
        <v>139.38017726511606</v>
      </c>
      <c r="I11" s="17">
        <f>'CDM Activity'!F39</f>
        <v>36630.578829703198</v>
      </c>
      <c r="J11" s="93">
        <v>30</v>
      </c>
      <c r="K11" s="17">
        <v>2738</v>
      </c>
      <c r="L11" s="10">
        <f t="shared" si="2"/>
        <v>5831911.9797824696</v>
      </c>
      <c r="M11" s="94">
        <f t="shared" si="0"/>
        <v>-675036.02021753043</v>
      </c>
      <c r="N11" s="169">
        <f t="shared" si="1"/>
        <v>0.10374080447815634</v>
      </c>
      <c r="O11" t="s">
        <v>27</v>
      </c>
    </row>
    <row r="12" spans="1:20" ht="13" x14ac:dyDescent="0.3">
      <c r="A12" s="3">
        <v>39356</v>
      </c>
      <c r="B12" s="25">
        <v>6984955</v>
      </c>
      <c r="C12" s="52">
        <f>'Purchased Power Model '!C132</f>
        <v>383.93315789473684</v>
      </c>
      <c r="D12" s="17">
        <v>1</v>
      </c>
      <c r="E12" s="83">
        <f>'Pulp Mill'!G90</f>
        <v>1</v>
      </c>
      <c r="F12" s="52">
        <v>0</v>
      </c>
      <c r="G12" s="25">
        <v>351.91199999999998</v>
      </c>
      <c r="H12" s="33">
        <v>139.61037495974546</v>
      </c>
      <c r="I12" s="17">
        <f>'CDM Activity'!F40</f>
        <v>38181.434568406265</v>
      </c>
      <c r="J12" s="93">
        <v>31</v>
      </c>
      <c r="K12" s="17">
        <v>2759</v>
      </c>
      <c r="L12" s="10">
        <f t="shared" si="2"/>
        <v>7050855.4237560276</v>
      </c>
      <c r="M12" s="94">
        <f t="shared" si="0"/>
        <v>65900.423756027594</v>
      </c>
      <c r="N12" s="169">
        <f t="shared" si="1"/>
        <v>9.434623953343664E-3</v>
      </c>
      <c r="O12" s="47"/>
      <c r="P12" s="47" t="s">
        <v>31</v>
      </c>
      <c r="Q12" s="47" t="s">
        <v>32</v>
      </c>
      <c r="R12" s="47" t="s">
        <v>33</v>
      </c>
      <c r="S12" s="47" t="s">
        <v>34</v>
      </c>
      <c r="T12" s="47" t="s">
        <v>35</v>
      </c>
    </row>
    <row r="13" spans="1:20" x14ac:dyDescent="0.25">
      <c r="A13" s="3">
        <v>39387</v>
      </c>
      <c r="B13" s="25">
        <v>8001392</v>
      </c>
      <c r="C13" s="52">
        <f>'Purchased Power Model '!C133</f>
        <v>633.81999999999994</v>
      </c>
      <c r="D13" s="17">
        <v>1</v>
      </c>
      <c r="E13" s="83">
        <f>'Pulp Mill'!G91</f>
        <v>1</v>
      </c>
      <c r="F13" s="52">
        <v>0</v>
      </c>
      <c r="G13" s="25">
        <v>352.08</v>
      </c>
      <c r="H13" s="33">
        <v>139.84095284458306</v>
      </c>
      <c r="I13" s="17">
        <f>'CDM Activity'!F41</f>
        <v>39732.290307109331</v>
      </c>
      <c r="J13" s="93">
        <v>30</v>
      </c>
      <c r="K13" s="17">
        <v>2750</v>
      </c>
      <c r="L13" s="10">
        <f t="shared" si="2"/>
        <v>8425146.7426491249</v>
      </c>
      <c r="M13" s="94">
        <f t="shared" si="0"/>
        <v>423754.74264912494</v>
      </c>
      <c r="N13" s="169">
        <f t="shared" si="1"/>
        <v>5.2960127768908828E-2</v>
      </c>
      <c r="O13" s="34" t="s">
        <v>28</v>
      </c>
      <c r="P13" s="34">
        <v>2</v>
      </c>
      <c r="Q13" s="34">
        <v>517019648322253.88</v>
      </c>
      <c r="R13" s="34">
        <v>258509824161126.94</v>
      </c>
      <c r="S13" s="34">
        <v>252.48328405263211</v>
      </c>
      <c r="T13" s="34">
        <v>3.5768522782188399E-43</v>
      </c>
    </row>
    <row r="14" spans="1:20" x14ac:dyDescent="0.25">
      <c r="A14" s="3">
        <v>39417</v>
      </c>
      <c r="B14" s="25">
        <v>6821178</v>
      </c>
      <c r="C14" s="52">
        <f>'Purchased Power Model '!C134</f>
        <v>964.45</v>
      </c>
      <c r="D14" s="17">
        <v>0</v>
      </c>
      <c r="E14" s="83">
        <f>'Pulp Mill'!G92</f>
        <v>0</v>
      </c>
      <c r="F14" s="52">
        <v>0</v>
      </c>
      <c r="G14" s="25">
        <v>304.29599999999999</v>
      </c>
      <c r="H14" s="33">
        <v>140.07191154754381</v>
      </c>
      <c r="I14" s="17">
        <f>'CDM Activity'!F42</f>
        <v>41283.146045812398</v>
      </c>
      <c r="J14" s="93">
        <v>31</v>
      </c>
      <c r="K14" s="17">
        <v>2755</v>
      </c>
      <c r="L14" s="10">
        <f t="shared" si="2"/>
        <v>9282942.05213999</v>
      </c>
      <c r="M14" s="94">
        <f t="shared" si="0"/>
        <v>2461764.05213999</v>
      </c>
      <c r="N14" s="169">
        <f t="shared" si="1"/>
        <v>0.36090013369244872</v>
      </c>
      <c r="O14" s="34" t="s">
        <v>29</v>
      </c>
      <c r="P14" s="34">
        <v>117</v>
      </c>
      <c r="Q14" s="34">
        <v>119792680693058.91</v>
      </c>
      <c r="R14" s="34">
        <v>1023869065752.6403</v>
      </c>
      <c r="S14" s="34"/>
      <c r="T14" s="34"/>
    </row>
    <row r="15" spans="1:20" ht="13" thickBot="1" x14ac:dyDescent="0.3">
      <c r="A15" s="3">
        <v>39448</v>
      </c>
      <c r="B15" s="17">
        <v>11503910</v>
      </c>
      <c r="C15" s="65">
        <f>C3</f>
        <v>1113.0699999999997</v>
      </c>
      <c r="D15" s="17">
        <v>0</v>
      </c>
      <c r="E15" s="83">
        <f>'Pulp Mill'!G93</f>
        <v>0</v>
      </c>
      <c r="F15" s="52">
        <v>0</v>
      </c>
      <c r="G15" s="95">
        <v>352</v>
      </c>
      <c r="H15" s="31">
        <v>139.96642175819056</v>
      </c>
      <c r="I15" s="17">
        <f>'CDM Activity'!F43</f>
        <v>41742.576765102007</v>
      </c>
      <c r="J15" s="93">
        <v>31</v>
      </c>
      <c r="K15" s="17">
        <v>2749</v>
      </c>
      <c r="L15" s="10">
        <f t="shared" si="2"/>
        <v>10100300.717738934</v>
      </c>
      <c r="M15" s="94">
        <f t="shared" si="0"/>
        <v>-1403609.2822610661</v>
      </c>
      <c r="N15" s="169">
        <f t="shared" si="1"/>
        <v>0.12201149715714624</v>
      </c>
      <c r="O15" s="46" t="s">
        <v>10</v>
      </c>
      <c r="P15" s="46">
        <v>119</v>
      </c>
      <c r="Q15" s="46">
        <v>636812329015312.75</v>
      </c>
      <c r="R15" s="46"/>
      <c r="S15" s="46"/>
      <c r="T15" s="46"/>
    </row>
    <row r="16" spans="1:20" ht="13" thickBot="1" x14ac:dyDescent="0.3">
      <c r="A16" s="3">
        <v>39479</v>
      </c>
      <c r="B16" s="17">
        <v>9208890</v>
      </c>
      <c r="C16" s="65">
        <f t="shared" ref="C16:C79" si="3">C4</f>
        <v>953.58894736842126</v>
      </c>
      <c r="D16" s="17">
        <v>0</v>
      </c>
      <c r="E16" s="83">
        <f>'Pulp Mill'!G94</f>
        <v>0</v>
      </c>
      <c r="F16" s="52">
        <v>0</v>
      </c>
      <c r="G16" s="95">
        <v>320</v>
      </c>
      <c r="H16" s="31">
        <v>139.86101141442734</v>
      </c>
      <c r="I16" s="17">
        <f>'CDM Activity'!F44</f>
        <v>42202.007484391615</v>
      </c>
      <c r="J16" s="93">
        <v>29</v>
      </c>
      <c r="K16" s="17">
        <v>2749</v>
      </c>
      <c r="L16" s="10">
        <f t="shared" si="2"/>
        <v>9223210.014150843</v>
      </c>
      <c r="M16" s="94">
        <f t="shared" si="0"/>
        <v>14320.014150843024</v>
      </c>
      <c r="N16" s="169">
        <f t="shared" si="1"/>
        <v>1.5550206540465815E-3</v>
      </c>
    </row>
    <row r="17" spans="1:33" ht="13" x14ac:dyDescent="0.3">
      <c r="A17" s="3">
        <v>39508</v>
      </c>
      <c r="B17" s="17">
        <v>7671793</v>
      </c>
      <c r="C17" s="65">
        <f t="shared" si="3"/>
        <v>750.64210526315799</v>
      </c>
      <c r="D17" s="17">
        <v>1</v>
      </c>
      <c r="E17" s="83">
        <f>'Pulp Mill'!G95</f>
        <v>0</v>
      </c>
      <c r="F17" s="52">
        <v>0</v>
      </c>
      <c r="G17" s="95">
        <v>304</v>
      </c>
      <c r="H17" s="31">
        <v>139.75568045642274</v>
      </c>
      <c r="I17" s="17">
        <f>'CDM Activity'!F45</f>
        <v>42661.438203681224</v>
      </c>
      <c r="J17" s="93">
        <v>31</v>
      </c>
      <c r="K17" s="17">
        <v>2739</v>
      </c>
      <c r="L17" s="10">
        <f t="shared" si="2"/>
        <v>7535204.0082212687</v>
      </c>
      <c r="M17" s="94">
        <f t="shared" si="0"/>
        <v>-136588.99177873135</v>
      </c>
      <c r="N17" s="169">
        <f t="shared" si="1"/>
        <v>1.7804050732173216E-2</v>
      </c>
      <c r="O17" s="47"/>
      <c r="P17" s="47" t="s">
        <v>36</v>
      </c>
      <c r="Q17" s="47" t="s">
        <v>25</v>
      </c>
      <c r="R17" s="47" t="s">
        <v>37</v>
      </c>
      <c r="S17" s="47" t="s">
        <v>38</v>
      </c>
      <c r="T17" s="47" t="s">
        <v>39</v>
      </c>
      <c r="U17" s="47" t="s">
        <v>40</v>
      </c>
    </row>
    <row r="18" spans="1:33" x14ac:dyDescent="0.25">
      <c r="A18" s="3">
        <v>39539</v>
      </c>
      <c r="B18" s="17">
        <v>5764075</v>
      </c>
      <c r="C18" s="65">
        <f t="shared" si="3"/>
        <v>492.2847368421053</v>
      </c>
      <c r="D18" s="17">
        <v>1</v>
      </c>
      <c r="E18" s="83">
        <f>'Pulp Mill'!G96</f>
        <v>0</v>
      </c>
      <c r="F18" s="52">
        <v>0</v>
      </c>
      <c r="G18" s="95">
        <v>352</v>
      </c>
      <c r="H18" s="31">
        <v>139.65042882439042</v>
      </c>
      <c r="I18" s="17">
        <f>'CDM Activity'!F46</f>
        <v>43120.868922970833</v>
      </c>
      <c r="J18" s="93">
        <v>30</v>
      </c>
      <c r="K18" s="17">
        <v>2740</v>
      </c>
      <c r="L18" s="10">
        <f t="shared" si="2"/>
        <v>6114327.7203711364</v>
      </c>
      <c r="M18" s="94">
        <f t="shared" si="0"/>
        <v>350252.72037113644</v>
      </c>
      <c r="N18" s="169">
        <f t="shared" si="1"/>
        <v>6.0764774984908496E-2</v>
      </c>
      <c r="O18" s="34" t="s">
        <v>30</v>
      </c>
      <c r="P18" s="50">
        <v>3978800.1800036533</v>
      </c>
      <c r="Q18" s="50">
        <v>213710.13717825036</v>
      </c>
      <c r="R18" s="66">
        <v>18.617741921549722</v>
      </c>
      <c r="S18" s="34">
        <v>1.2183385908669906E-36</v>
      </c>
      <c r="T18" s="50">
        <v>3555520.3253193116</v>
      </c>
      <c r="U18" s="50">
        <v>4402080.034687995</v>
      </c>
    </row>
    <row r="19" spans="1:33" x14ac:dyDescent="0.25">
      <c r="A19" s="3">
        <v>39569</v>
      </c>
      <c r="B19" s="17">
        <v>5252521</v>
      </c>
      <c r="C19" s="65">
        <f t="shared" si="3"/>
        <v>260.26000000000005</v>
      </c>
      <c r="D19" s="17">
        <v>1</v>
      </c>
      <c r="E19" s="83">
        <f>'Pulp Mill'!G97</f>
        <v>0</v>
      </c>
      <c r="F19" s="52">
        <v>0</v>
      </c>
      <c r="G19" s="95">
        <v>336</v>
      </c>
      <c r="H19" s="31">
        <v>139.54525645858905</v>
      </c>
      <c r="I19" s="17">
        <f>'CDM Activity'!F47</f>
        <v>43580.299642260441</v>
      </c>
      <c r="J19" s="93">
        <v>31</v>
      </c>
      <c r="K19" s="17">
        <v>2734</v>
      </c>
      <c r="L19" s="10">
        <f t="shared" si="2"/>
        <v>4838271.8107276876</v>
      </c>
      <c r="M19" s="94">
        <f t="shared" si="0"/>
        <v>-414249.18927231245</v>
      </c>
      <c r="N19" s="169">
        <f t="shared" si="1"/>
        <v>7.8866736424721084E-2</v>
      </c>
      <c r="O19" s="34" t="s">
        <v>3</v>
      </c>
      <c r="P19" s="50">
        <v>5499.6545929144459</v>
      </c>
      <c r="Q19" s="50">
        <v>252.7150731676366</v>
      </c>
      <c r="R19" s="66">
        <v>21.762273709990748</v>
      </c>
      <c r="S19" s="34">
        <v>9.1585831966524567E-43</v>
      </c>
      <c r="T19" s="50">
        <v>4999.1205477852736</v>
      </c>
      <c r="U19" s="50">
        <v>6000.1886380436181</v>
      </c>
    </row>
    <row r="20" spans="1:33" x14ac:dyDescent="0.25">
      <c r="A20" s="3">
        <v>39600</v>
      </c>
      <c r="B20" s="17">
        <v>5368685</v>
      </c>
      <c r="C20" s="65">
        <f t="shared" si="3"/>
        <v>89.673684210526318</v>
      </c>
      <c r="D20" s="17">
        <v>0</v>
      </c>
      <c r="E20" s="83">
        <f>'Pulp Mill'!G98</f>
        <v>1</v>
      </c>
      <c r="F20" s="65">
        <v>5.4</v>
      </c>
      <c r="G20" s="95">
        <v>336</v>
      </c>
      <c r="H20" s="31">
        <v>139.44016329932234</v>
      </c>
      <c r="I20" s="17">
        <f>'CDM Activity'!F48</f>
        <v>44039.73036155005</v>
      </c>
      <c r="J20" s="93">
        <v>30</v>
      </c>
      <c r="K20" s="17">
        <v>2753</v>
      </c>
      <c r="L20" s="10">
        <f t="shared" si="2"/>
        <v>6004398.4314279519</v>
      </c>
      <c r="M20" s="94">
        <f t="shared" si="0"/>
        <v>635713.4314279519</v>
      </c>
      <c r="N20" s="169">
        <f t="shared" si="1"/>
        <v>0.11841138592186949</v>
      </c>
      <c r="O20" s="34" t="s">
        <v>19</v>
      </c>
      <c r="P20" s="50">
        <v>-571868.47362787987</v>
      </c>
      <c r="Q20" s="50">
        <v>189816.49556629173</v>
      </c>
      <c r="R20" s="66">
        <v>-3.0127438182956015</v>
      </c>
      <c r="S20" s="34">
        <v>3.1791906094424463E-3</v>
      </c>
      <c r="T20" s="50">
        <v>-947823.9604421379</v>
      </c>
      <c r="U20" s="50">
        <v>-195912.98681362189</v>
      </c>
    </row>
    <row r="21" spans="1:33" ht="13" thickBot="1" x14ac:dyDescent="0.3">
      <c r="A21" s="3">
        <v>39630</v>
      </c>
      <c r="B21" s="17">
        <v>5788420</v>
      </c>
      <c r="C21" s="65">
        <f t="shared" si="3"/>
        <v>35.763684210526314</v>
      </c>
      <c r="D21" s="17">
        <v>0</v>
      </c>
      <c r="E21" s="83">
        <f>'Pulp Mill'!G99</f>
        <v>1</v>
      </c>
      <c r="F21" s="65">
        <v>23.2</v>
      </c>
      <c r="G21" s="95">
        <v>352</v>
      </c>
      <c r="H21" s="31">
        <v>139.3351492869389</v>
      </c>
      <c r="I21" s="17">
        <f>'CDM Activity'!F49</f>
        <v>44499.161080839658</v>
      </c>
      <c r="J21" s="93">
        <v>31</v>
      </c>
      <c r="K21" s="17">
        <v>2749</v>
      </c>
      <c r="L21" s="10">
        <f t="shared" si="2"/>
        <v>5707912.0523239337</v>
      </c>
      <c r="M21" s="94">
        <f t="shared" si="0"/>
        <v>-80507.947676066309</v>
      </c>
      <c r="N21" s="169">
        <f t="shared" si="1"/>
        <v>1.3908449572779154E-2</v>
      </c>
      <c r="O21" s="46" t="s">
        <v>75</v>
      </c>
      <c r="P21" s="84">
        <v>1532423.9621923177</v>
      </c>
      <c r="Q21" s="84">
        <v>271117.84139344393</v>
      </c>
      <c r="R21" s="62">
        <v>5.6522431512298628</v>
      </c>
      <c r="S21" s="46">
        <v>1.1518355049312375E-7</v>
      </c>
      <c r="T21" s="84">
        <v>995440.9157978833</v>
      </c>
      <c r="U21" s="84">
        <v>2069407.0085867522</v>
      </c>
    </row>
    <row r="22" spans="1:33" x14ac:dyDescent="0.25">
      <c r="A22" s="3">
        <v>39661</v>
      </c>
      <c r="B22" s="17">
        <v>5783724</v>
      </c>
      <c r="C22" s="65">
        <f t="shared" si="3"/>
        <v>49.53368421052631</v>
      </c>
      <c r="D22" s="17">
        <v>0</v>
      </c>
      <c r="E22" s="83">
        <f>'Pulp Mill'!G100</f>
        <v>1</v>
      </c>
      <c r="F22" s="65">
        <v>49.1</v>
      </c>
      <c r="G22" s="95">
        <v>320</v>
      </c>
      <c r="H22" s="31">
        <v>139.23021436183228</v>
      </c>
      <c r="I22" s="17">
        <f>'CDM Activity'!F50</f>
        <v>44958.591800129267</v>
      </c>
      <c r="J22" s="93">
        <v>31</v>
      </c>
      <c r="K22" s="17">
        <v>2756</v>
      </c>
      <c r="L22" s="10">
        <f t="shared" si="2"/>
        <v>5783642.2960683657</v>
      </c>
      <c r="M22" s="94">
        <f t="shared" si="0"/>
        <v>-81.703931634314358</v>
      </c>
      <c r="N22" s="169">
        <f t="shared" si="1"/>
        <v>1.4126526721246443E-5</v>
      </c>
    </row>
    <row r="23" spans="1:33" x14ac:dyDescent="0.25">
      <c r="A23" s="3">
        <v>39692</v>
      </c>
      <c r="B23" s="17">
        <v>4776645</v>
      </c>
      <c r="C23" s="65">
        <f t="shared" si="3"/>
        <v>162.29315789473685</v>
      </c>
      <c r="D23" s="17">
        <v>1</v>
      </c>
      <c r="E23" s="83">
        <f>'Pulp Mill'!G101</f>
        <v>1</v>
      </c>
      <c r="F23" s="65">
        <v>7.8</v>
      </c>
      <c r="G23" s="95">
        <v>336</v>
      </c>
      <c r="H23" s="31">
        <v>139.12535846444095</v>
      </c>
      <c r="I23" s="17">
        <f>'CDM Activity'!F51</f>
        <v>45418.022519418875</v>
      </c>
      <c r="J23" s="93">
        <v>30</v>
      </c>
      <c r="K23" s="17">
        <v>2750</v>
      </c>
      <c r="L23" s="10">
        <f t="shared" si="2"/>
        <v>5831911.9797824696</v>
      </c>
      <c r="M23" s="94">
        <f t="shared" si="0"/>
        <v>1055266.9797824696</v>
      </c>
      <c r="N23" s="169">
        <f t="shared" si="1"/>
        <v>0.22092221209289564</v>
      </c>
    </row>
    <row r="24" spans="1:33" x14ac:dyDescent="0.25">
      <c r="A24" s="3">
        <v>39722</v>
      </c>
      <c r="B24" s="17">
        <v>5371779</v>
      </c>
      <c r="C24" s="65">
        <f t="shared" si="3"/>
        <v>383.93315789473684</v>
      </c>
      <c r="D24" s="17">
        <v>1</v>
      </c>
      <c r="E24" s="83">
        <f>'Pulp Mill'!G102</f>
        <v>0</v>
      </c>
      <c r="F24" s="52">
        <v>0</v>
      </c>
      <c r="G24" s="95">
        <v>352</v>
      </c>
      <c r="H24" s="31">
        <v>139.02058153524823</v>
      </c>
      <c r="I24" s="17">
        <f>'CDM Activity'!F52</f>
        <v>45877.453238708484</v>
      </c>
      <c r="J24" s="93">
        <v>31</v>
      </c>
      <c r="K24" s="17">
        <v>2763</v>
      </c>
      <c r="L24" s="10">
        <f t="shared" si="2"/>
        <v>5518431.4615637101</v>
      </c>
      <c r="M24" s="94">
        <f t="shared" si="0"/>
        <v>146652.46156371012</v>
      </c>
      <c r="N24" s="169">
        <f t="shared" si="1"/>
        <v>2.7300538902235206E-2</v>
      </c>
    </row>
    <row r="25" spans="1:33" x14ac:dyDescent="0.25">
      <c r="A25" s="3">
        <v>39753</v>
      </c>
      <c r="B25" s="17">
        <v>8111934</v>
      </c>
      <c r="C25" s="65">
        <f t="shared" si="3"/>
        <v>633.81999999999994</v>
      </c>
      <c r="D25" s="17">
        <v>1</v>
      </c>
      <c r="E25" s="83">
        <f>'Pulp Mill'!G103</f>
        <v>0</v>
      </c>
      <c r="F25" s="52">
        <v>0</v>
      </c>
      <c r="G25" s="95">
        <v>304</v>
      </c>
      <c r="H25" s="31">
        <v>138.91588351478222</v>
      </c>
      <c r="I25" s="17">
        <f>'CDM Activity'!F53</f>
        <v>46336.883957998092</v>
      </c>
      <c r="J25" s="93">
        <v>30</v>
      </c>
      <c r="K25" s="17">
        <v>2758</v>
      </c>
      <c r="L25" s="10">
        <f t="shared" si="2"/>
        <v>6892722.7804568075</v>
      </c>
      <c r="M25" s="94">
        <f t="shared" si="0"/>
        <v>-1219211.2195431925</v>
      </c>
      <c r="N25" s="169">
        <f t="shared" si="1"/>
        <v>0.1502984639104796</v>
      </c>
    </row>
    <row r="26" spans="1:33" x14ac:dyDescent="0.25">
      <c r="A26" s="3">
        <v>39783</v>
      </c>
      <c r="B26" s="17">
        <v>7265099</v>
      </c>
      <c r="C26" s="65">
        <f t="shared" si="3"/>
        <v>964.45</v>
      </c>
      <c r="D26" s="17">
        <v>0</v>
      </c>
      <c r="E26" s="83">
        <f>'Pulp Mill'!G104</f>
        <v>0</v>
      </c>
      <c r="F26" s="52">
        <v>0</v>
      </c>
      <c r="G26" s="95">
        <v>336</v>
      </c>
      <c r="H26" s="31">
        <v>138.8112643436159</v>
      </c>
      <c r="I26" s="17">
        <f>'CDM Activity'!F54</f>
        <v>46796.314677287701</v>
      </c>
      <c r="J26" s="93">
        <v>31</v>
      </c>
      <c r="K26" s="17">
        <v>2735</v>
      </c>
      <c r="L26" s="10">
        <f t="shared" si="2"/>
        <v>9282942.05213999</v>
      </c>
      <c r="M26" s="94">
        <f t="shared" si="0"/>
        <v>2017843.05213999</v>
      </c>
      <c r="N26" s="169">
        <f t="shared" si="1"/>
        <v>0.27774474265801335</v>
      </c>
    </row>
    <row r="27" spans="1:33" s="14" customFormat="1" x14ac:dyDescent="0.25">
      <c r="A27" s="3">
        <v>39814</v>
      </c>
      <c r="B27" s="25">
        <v>12089350</v>
      </c>
      <c r="C27" s="65">
        <f t="shared" si="3"/>
        <v>1113.0699999999997</v>
      </c>
      <c r="D27" s="17">
        <v>0</v>
      </c>
      <c r="E27" s="83">
        <f>'Pulp Mill'!G105</f>
        <v>0</v>
      </c>
      <c r="F27" s="52">
        <v>0</v>
      </c>
      <c r="G27" s="95">
        <v>336</v>
      </c>
      <c r="H27" s="31">
        <v>138.43555825854429</v>
      </c>
      <c r="I27" s="17">
        <f>'CDM Activity'!F55</f>
        <v>49681.704876611417</v>
      </c>
      <c r="J27" s="93">
        <v>31</v>
      </c>
      <c r="K27" s="17">
        <v>2733</v>
      </c>
      <c r="L27" s="10">
        <f t="shared" si="2"/>
        <v>10100300.717738934</v>
      </c>
      <c r="M27" s="94">
        <f t="shared" si="0"/>
        <v>-1989049.2822610661</v>
      </c>
      <c r="N27" s="169">
        <f t="shared" si="1"/>
        <v>0.16452905096312589</v>
      </c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 x14ac:dyDescent="0.25">
      <c r="A28" s="3">
        <v>39845</v>
      </c>
      <c r="B28" s="25">
        <v>8873805</v>
      </c>
      <c r="C28" s="65">
        <f t="shared" si="3"/>
        <v>953.58894736842126</v>
      </c>
      <c r="D28" s="17">
        <v>0</v>
      </c>
      <c r="E28" s="83">
        <f>'Pulp Mill'!G106</f>
        <v>0</v>
      </c>
      <c r="F28" s="52">
        <v>0</v>
      </c>
      <c r="G28" s="95">
        <v>304</v>
      </c>
      <c r="H28" s="31">
        <v>138.06086905825526</v>
      </c>
      <c r="I28" s="17">
        <f>'CDM Activity'!F56</f>
        <v>52567.095075935133</v>
      </c>
      <c r="J28" s="93">
        <v>28</v>
      </c>
      <c r="K28" s="17">
        <v>2733</v>
      </c>
      <c r="L28" s="10">
        <f t="shared" si="2"/>
        <v>9223210.014150843</v>
      </c>
      <c r="M28" s="94">
        <f t="shared" si="0"/>
        <v>349405.01415084302</v>
      </c>
      <c r="N28" s="169">
        <f t="shared" si="1"/>
        <v>3.9374880803763779E-2</v>
      </c>
    </row>
    <row r="29" spans="1:33" x14ac:dyDescent="0.25">
      <c r="A29" s="3">
        <v>39873</v>
      </c>
      <c r="B29" s="25">
        <v>6938222</v>
      </c>
      <c r="C29" s="65">
        <f t="shared" si="3"/>
        <v>750.64210526315799</v>
      </c>
      <c r="D29" s="17">
        <v>1</v>
      </c>
      <c r="E29" s="83">
        <f>'Pulp Mill'!G107</f>
        <v>0</v>
      </c>
      <c r="F29" s="52">
        <v>0</v>
      </c>
      <c r="G29" s="95">
        <v>352</v>
      </c>
      <c r="H29" s="31">
        <v>137.68719399045199</v>
      </c>
      <c r="I29" s="17">
        <f>'CDM Activity'!F57</f>
        <v>55452.485275258849</v>
      </c>
      <c r="J29" s="93">
        <v>31</v>
      </c>
      <c r="K29" s="17">
        <v>2741</v>
      </c>
      <c r="L29" s="10">
        <f t="shared" si="2"/>
        <v>7535204.0082212687</v>
      </c>
      <c r="M29" s="94">
        <f t="shared" si="0"/>
        <v>596982.00822126865</v>
      </c>
      <c r="N29" s="169">
        <f t="shared" si="1"/>
        <v>8.6042506022619147E-2</v>
      </c>
    </row>
    <row r="30" spans="1:33" x14ac:dyDescent="0.25">
      <c r="A30" s="3">
        <v>39904</v>
      </c>
      <c r="B30" s="25">
        <v>5637576</v>
      </c>
      <c r="C30" s="65">
        <f t="shared" si="3"/>
        <v>492.2847368421053</v>
      </c>
      <c r="D30" s="17">
        <v>1</v>
      </c>
      <c r="E30" s="83">
        <f>'Pulp Mill'!G108</f>
        <v>0</v>
      </c>
      <c r="F30" s="52">
        <v>0</v>
      </c>
      <c r="G30" s="95">
        <v>320</v>
      </c>
      <c r="H30" s="31">
        <v>137.31453031028698</v>
      </c>
      <c r="I30" s="17">
        <f>'CDM Activity'!F58</f>
        <v>58337.875474582564</v>
      </c>
      <c r="J30" s="93">
        <v>30</v>
      </c>
      <c r="K30" s="17">
        <v>2731</v>
      </c>
      <c r="L30" s="10">
        <f t="shared" si="2"/>
        <v>6114327.7203711364</v>
      </c>
      <c r="M30" s="94">
        <f t="shared" si="0"/>
        <v>476751.72037113644</v>
      </c>
      <c r="N30" s="169">
        <f t="shared" si="1"/>
        <v>8.456679260219932E-2</v>
      </c>
    </row>
    <row r="31" spans="1:33" x14ac:dyDescent="0.25">
      <c r="A31" s="3">
        <v>39934</v>
      </c>
      <c r="B31" s="25">
        <v>5455495</v>
      </c>
      <c r="C31" s="65">
        <f t="shared" si="3"/>
        <v>260.26000000000005</v>
      </c>
      <c r="D31" s="17">
        <v>1</v>
      </c>
      <c r="E31" s="83">
        <f>'Pulp Mill'!G109</f>
        <v>0</v>
      </c>
      <c r="F31" s="52">
        <v>0</v>
      </c>
      <c r="G31" s="95">
        <v>320</v>
      </c>
      <c r="H31" s="31">
        <v>136.94287528034204</v>
      </c>
      <c r="I31" s="17">
        <f>'CDM Activity'!F59</f>
        <v>61223.26567390628</v>
      </c>
      <c r="J31" s="93">
        <v>31</v>
      </c>
      <c r="K31" s="17">
        <v>2757</v>
      </c>
      <c r="L31" s="10">
        <f t="shared" si="2"/>
        <v>4838271.8107276876</v>
      </c>
      <c r="M31" s="94">
        <f t="shared" si="0"/>
        <v>-617223.18927231245</v>
      </c>
      <c r="N31" s="169">
        <f t="shared" si="1"/>
        <v>0.11313788927903196</v>
      </c>
    </row>
    <row r="32" spans="1:33" x14ac:dyDescent="0.25">
      <c r="A32" s="3">
        <v>39965</v>
      </c>
      <c r="B32" s="25">
        <v>4330246</v>
      </c>
      <c r="C32" s="65">
        <f t="shared" si="3"/>
        <v>89.673684210526318</v>
      </c>
      <c r="D32" s="17">
        <v>0</v>
      </c>
      <c r="E32" s="83">
        <f>'Pulp Mill'!G110</f>
        <v>0</v>
      </c>
      <c r="F32" s="65">
        <v>31.599999999999994</v>
      </c>
      <c r="G32" s="95">
        <v>352</v>
      </c>
      <c r="H32" s="31">
        <v>136.57222617060793</v>
      </c>
      <c r="I32" s="17">
        <f>'CDM Activity'!F60</f>
        <v>64108.655873229996</v>
      </c>
      <c r="J32" s="93">
        <v>30</v>
      </c>
      <c r="K32" s="17">
        <v>2737</v>
      </c>
      <c r="L32" s="10">
        <f t="shared" si="2"/>
        <v>4471974.4692356344</v>
      </c>
      <c r="M32" s="94">
        <f t="shared" si="0"/>
        <v>141728.46923563443</v>
      </c>
      <c r="N32" s="169">
        <f t="shared" si="1"/>
        <v>3.2729888610400985E-2</v>
      </c>
    </row>
    <row r="33" spans="1:33" x14ac:dyDescent="0.25">
      <c r="A33" s="3">
        <v>39995</v>
      </c>
      <c r="B33" s="25">
        <v>4381937</v>
      </c>
      <c r="C33" s="65">
        <f t="shared" si="3"/>
        <v>35.763684210526314</v>
      </c>
      <c r="D33" s="17">
        <v>0</v>
      </c>
      <c r="E33" s="83">
        <f>'Pulp Mill'!G111</f>
        <v>0</v>
      </c>
      <c r="F33" s="65">
        <v>1.6</v>
      </c>
      <c r="G33" s="95">
        <v>352</v>
      </c>
      <c r="H33" s="31">
        <v>136.20258025846454</v>
      </c>
      <c r="I33" s="17">
        <f>'CDM Activity'!F61</f>
        <v>66994.046072553712</v>
      </c>
      <c r="J33" s="93">
        <v>31</v>
      </c>
      <c r="K33" s="17">
        <v>2728</v>
      </c>
      <c r="L33" s="10">
        <f t="shared" si="2"/>
        <v>4175488.0901316162</v>
      </c>
      <c r="M33" s="94">
        <f t="shared" si="0"/>
        <v>-206448.90986838378</v>
      </c>
      <c r="N33" s="169">
        <f t="shared" si="1"/>
        <v>4.7113618901500356E-2</v>
      </c>
    </row>
    <row r="34" spans="1:33" x14ac:dyDescent="0.25">
      <c r="A34" s="3">
        <v>40026</v>
      </c>
      <c r="B34" s="25">
        <v>4062717</v>
      </c>
      <c r="C34" s="65">
        <f t="shared" si="3"/>
        <v>49.53368421052631</v>
      </c>
      <c r="D34" s="17">
        <v>0</v>
      </c>
      <c r="E34" s="83">
        <f>'Pulp Mill'!G112</f>
        <v>0</v>
      </c>
      <c r="F34" s="65">
        <v>21.1</v>
      </c>
      <c r="G34" s="95">
        <v>320</v>
      </c>
      <c r="H34" s="31">
        <v>135.83393482866074</v>
      </c>
      <c r="I34" s="17">
        <f>'CDM Activity'!F62</f>
        <v>69879.436271877436</v>
      </c>
      <c r="J34" s="93">
        <v>31</v>
      </c>
      <c r="K34" s="17">
        <v>2738</v>
      </c>
      <c r="L34" s="10">
        <f t="shared" si="2"/>
        <v>4251218.3338760482</v>
      </c>
      <c r="M34" s="94">
        <f t="shared" si="0"/>
        <v>188501.33387604821</v>
      </c>
      <c r="N34" s="169">
        <f t="shared" si="1"/>
        <v>4.6397849979717569E-2</v>
      </c>
    </row>
    <row r="35" spans="1:33" x14ac:dyDescent="0.25">
      <c r="A35" s="3">
        <v>40057</v>
      </c>
      <c r="B35" s="25">
        <v>4495746</v>
      </c>
      <c r="C35" s="65">
        <f t="shared" si="3"/>
        <v>162.29315789473685</v>
      </c>
      <c r="D35" s="17">
        <v>1</v>
      </c>
      <c r="E35" s="83">
        <f>'Pulp Mill'!G113</f>
        <v>0</v>
      </c>
      <c r="F35" s="65">
        <v>26.800000000000004</v>
      </c>
      <c r="G35" s="95">
        <v>336</v>
      </c>
      <c r="H35" s="31">
        <v>135.46628717329455</v>
      </c>
      <c r="I35" s="17">
        <f>'CDM Activity'!F63</f>
        <v>72764.826471201144</v>
      </c>
      <c r="J35" s="93">
        <v>30</v>
      </c>
      <c r="K35" s="17">
        <v>2742</v>
      </c>
      <c r="L35" s="10">
        <f t="shared" si="2"/>
        <v>4299488.0175901521</v>
      </c>
      <c r="M35" s="94">
        <f t="shared" ref="M35:M66" si="4">L35-B35</f>
        <v>-196257.9824098479</v>
      </c>
      <c r="N35" s="169">
        <f t="shared" ref="N35:N66" si="5">ABS(M35/B35)</f>
        <v>4.3654152705657284E-2</v>
      </c>
    </row>
    <row r="36" spans="1:33" x14ac:dyDescent="0.25">
      <c r="A36" s="3">
        <v>40087</v>
      </c>
      <c r="B36" s="25">
        <v>6209036</v>
      </c>
      <c r="C36" s="65">
        <f t="shared" si="3"/>
        <v>383.93315789473684</v>
      </c>
      <c r="D36" s="17">
        <v>1</v>
      </c>
      <c r="E36" s="83">
        <f>'Pulp Mill'!G114</f>
        <v>0</v>
      </c>
      <c r="F36" s="52">
        <v>0</v>
      </c>
      <c r="G36" s="95">
        <v>336</v>
      </c>
      <c r="H36" s="31">
        <v>135.09963459179312</v>
      </c>
      <c r="I36" s="17">
        <f>'CDM Activity'!F64</f>
        <v>75650.216670524853</v>
      </c>
      <c r="J36" s="93">
        <v>31</v>
      </c>
      <c r="K36" s="17">
        <v>2751</v>
      </c>
      <c r="L36" s="10">
        <f t="shared" si="2"/>
        <v>5518431.4615637101</v>
      </c>
      <c r="M36" s="94">
        <f t="shared" si="4"/>
        <v>-690604.53843628988</v>
      </c>
      <c r="N36" s="169">
        <f t="shared" si="5"/>
        <v>0.1112257262538484</v>
      </c>
    </row>
    <row r="37" spans="1:33" x14ac:dyDescent="0.25">
      <c r="A37" s="3">
        <v>40118</v>
      </c>
      <c r="B37" s="25">
        <v>6154276</v>
      </c>
      <c r="C37" s="65">
        <f t="shared" si="3"/>
        <v>633.81999999999994</v>
      </c>
      <c r="D37" s="17">
        <v>1</v>
      </c>
      <c r="E37" s="83">
        <f>'Pulp Mill'!G115</f>
        <v>0</v>
      </c>
      <c r="F37" s="52">
        <v>0</v>
      </c>
      <c r="G37" s="95">
        <v>320</v>
      </c>
      <c r="H37" s="31">
        <v>134.733974390893</v>
      </c>
      <c r="I37" s="17">
        <f>'CDM Activity'!F65</f>
        <v>78535.606869848561</v>
      </c>
      <c r="J37" s="93">
        <v>30</v>
      </c>
      <c r="K37" s="17">
        <v>2743</v>
      </c>
      <c r="L37" s="10">
        <f t="shared" si="2"/>
        <v>6892722.7804568075</v>
      </c>
      <c r="M37" s="94">
        <f t="shared" si="4"/>
        <v>738446.78045680746</v>
      </c>
      <c r="N37" s="169">
        <f t="shared" si="5"/>
        <v>0.1199892205771739</v>
      </c>
    </row>
    <row r="38" spans="1:33" s="30" customFormat="1" x14ac:dyDescent="0.25">
      <c r="A38" s="3">
        <v>40148</v>
      </c>
      <c r="B38" s="25">
        <v>7388223</v>
      </c>
      <c r="C38" s="65">
        <f t="shared" si="3"/>
        <v>964.45</v>
      </c>
      <c r="D38" s="17">
        <v>0</v>
      </c>
      <c r="E38" s="83">
        <f>'Pulp Mill'!G116</f>
        <v>0</v>
      </c>
      <c r="F38" s="52">
        <v>0</v>
      </c>
      <c r="G38" s="95">
        <v>352</v>
      </c>
      <c r="H38" s="31">
        <v>134.36930388462019</v>
      </c>
      <c r="I38" s="17">
        <f>'CDM Activity'!F66</f>
        <v>81420.99706917227</v>
      </c>
      <c r="J38" s="93">
        <v>31</v>
      </c>
      <c r="K38" s="17">
        <v>2733</v>
      </c>
      <c r="L38" s="10">
        <f t="shared" si="2"/>
        <v>9282942.05213999</v>
      </c>
      <c r="M38" s="94">
        <f t="shared" si="4"/>
        <v>1894719.05213999</v>
      </c>
      <c r="N38" s="169">
        <f t="shared" si="5"/>
        <v>0.25645125385901185</v>
      </c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</row>
    <row r="39" spans="1:33" x14ac:dyDescent="0.25">
      <c r="A39" s="3">
        <v>40179</v>
      </c>
      <c r="B39" s="25">
        <v>11066124</v>
      </c>
      <c r="C39" s="65">
        <f t="shared" si="3"/>
        <v>1113.0699999999997</v>
      </c>
      <c r="D39" s="17">
        <v>0</v>
      </c>
      <c r="E39" s="83">
        <f>'Pulp Mill'!G117</f>
        <v>0</v>
      </c>
      <c r="F39" s="65">
        <v>0</v>
      </c>
      <c r="G39" s="95">
        <v>320</v>
      </c>
      <c r="H39" s="31">
        <v>134.73334561620703</v>
      </c>
      <c r="I39" s="17">
        <f>'CDM Activity'!F67</f>
        <v>78687.721874404204</v>
      </c>
      <c r="J39" s="93">
        <v>31</v>
      </c>
      <c r="K39" s="17">
        <v>2740</v>
      </c>
      <c r="L39" s="10">
        <f t="shared" si="2"/>
        <v>10100300.717738934</v>
      </c>
      <c r="M39" s="94">
        <f t="shared" si="4"/>
        <v>-965823.28226106614</v>
      </c>
      <c r="N39" s="169">
        <f t="shared" si="5"/>
        <v>8.7277467906655137E-2</v>
      </c>
    </row>
    <row r="40" spans="1:33" x14ac:dyDescent="0.25">
      <c r="A40" s="3">
        <v>40210</v>
      </c>
      <c r="B40" s="25">
        <v>8314898</v>
      </c>
      <c r="C40" s="65">
        <f t="shared" si="3"/>
        <v>953.58894736842126</v>
      </c>
      <c r="D40" s="17">
        <v>0</v>
      </c>
      <c r="E40" s="83">
        <f>'Pulp Mill'!G118</f>
        <v>0</v>
      </c>
      <c r="F40" s="65">
        <v>0</v>
      </c>
      <c r="G40" s="95">
        <v>304</v>
      </c>
      <c r="H40" s="31">
        <v>135.09837363244745</v>
      </c>
      <c r="I40" s="17">
        <f>'CDM Activity'!F68</f>
        <v>75954.446679636138</v>
      </c>
      <c r="J40" s="93">
        <v>28</v>
      </c>
      <c r="K40" s="17">
        <v>2742</v>
      </c>
      <c r="L40" s="10">
        <f t="shared" si="2"/>
        <v>9223210.014150843</v>
      </c>
      <c r="M40" s="94">
        <f t="shared" si="4"/>
        <v>908312.01415084302</v>
      </c>
      <c r="N40" s="169">
        <f t="shared" si="5"/>
        <v>0.10923910481533784</v>
      </c>
    </row>
    <row r="41" spans="1:33" x14ac:dyDescent="0.25">
      <c r="A41" s="3">
        <v>40238</v>
      </c>
      <c r="B41" s="25">
        <v>6523675</v>
      </c>
      <c r="C41" s="65">
        <f t="shared" si="3"/>
        <v>750.64210526315799</v>
      </c>
      <c r="D41" s="17">
        <v>1</v>
      </c>
      <c r="E41" s="83">
        <f>'Pulp Mill'!G119</f>
        <v>0</v>
      </c>
      <c r="F41" s="65">
        <v>0</v>
      </c>
      <c r="G41" s="95">
        <v>368</v>
      </c>
      <c r="H41" s="31">
        <v>135.46439060544563</v>
      </c>
      <c r="I41" s="17">
        <f>'CDM Activity'!F69</f>
        <v>73221.171484868071</v>
      </c>
      <c r="J41" s="93">
        <v>31</v>
      </c>
      <c r="K41" s="17">
        <v>2729</v>
      </c>
      <c r="L41" s="10">
        <f t="shared" si="2"/>
        <v>7535204.0082212687</v>
      </c>
      <c r="M41" s="94">
        <f t="shared" si="4"/>
        <v>1011529.0082212687</v>
      </c>
      <c r="N41" s="169">
        <f t="shared" si="5"/>
        <v>0.15505508907498744</v>
      </c>
    </row>
    <row r="42" spans="1:33" x14ac:dyDescent="0.25">
      <c r="A42" s="3">
        <v>40269</v>
      </c>
      <c r="B42" s="25">
        <v>5173000</v>
      </c>
      <c r="C42" s="65">
        <f t="shared" si="3"/>
        <v>492.2847368421053</v>
      </c>
      <c r="D42" s="17">
        <v>1</v>
      </c>
      <c r="E42" s="83">
        <f>'Pulp Mill'!G120</f>
        <v>0</v>
      </c>
      <c r="F42" s="65">
        <v>0</v>
      </c>
      <c r="G42" s="95">
        <v>320</v>
      </c>
      <c r="H42" s="31">
        <v>135.83139921454512</v>
      </c>
      <c r="I42" s="17">
        <f>'CDM Activity'!F70</f>
        <v>70487.896290100005</v>
      </c>
      <c r="J42" s="93">
        <v>30</v>
      </c>
      <c r="K42" s="17">
        <v>2736</v>
      </c>
      <c r="L42" s="10">
        <f t="shared" si="2"/>
        <v>6114327.7203711364</v>
      </c>
      <c r="M42" s="94">
        <f t="shared" si="4"/>
        <v>941327.72037113644</v>
      </c>
      <c r="N42" s="169">
        <f t="shared" si="5"/>
        <v>0.18196940273944257</v>
      </c>
    </row>
    <row r="43" spans="1:33" x14ac:dyDescent="0.25">
      <c r="A43" s="3">
        <v>40299</v>
      </c>
      <c r="B43" s="25">
        <v>4272142</v>
      </c>
      <c r="C43" s="65">
        <f t="shared" si="3"/>
        <v>260.26000000000005</v>
      </c>
      <c r="D43" s="17">
        <v>1</v>
      </c>
      <c r="E43" s="83">
        <f>'Pulp Mill'!G121</f>
        <v>0</v>
      </c>
      <c r="F43" s="65">
        <v>12.9</v>
      </c>
      <c r="G43" s="95">
        <v>320</v>
      </c>
      <c r="H43" s="31">
        <v>136.19940214634852</v>
      </c>
      <c r="I43" s="17">
        <f>'CDM Activity'!F71</f>
        <v>67754.621095331939</v>
      </c>
      <c r="J43" s="93">
        <v>31</v>
      </c>
      <c r="K43" s="17">
        <v>2735</v>
      </c>
      <c r="L43" s="10">
        <f t="shared" si="2"/>
        <v>4838271.8107276876</v>
      </c>
      <c r="M43" s="94">
        <f t="shared" si="4"/>
        <v>566129.81072768755</v>
      </c>
      <c r="N43" s="169">
        <f t="shared" si="5"/>
        <v>0.1325166182977269</v>
      </c>
    </row>
    <row r="44" spans="1:33" x14ac:dyDescent="0.25">
      <c r="A44" s="3">
        <v>40330</v>
      </c>
      <c r="B44" s="25">
        <v>4937182</v>
      </c>
      <c r="C44" s="65">
        <f t="shared" si="3"/>
        <v>89.673684210526318</v>
      </c>
      <c r="D44" s="17">
        <v>0</v>
      </c>
      <c r="E44" s="83">
        <f>'Pulp Mill'!G122</f>
        <v>0.5</v>
      </c>
      <c r="F44" s="65">
        <v>6.8000000000000007</v>
      </c>
      <c r="G44" s="95">
        <v>352</v>
      </c>
      <c r="H44" s="31">
        <v>136.56840209473719</v>
      </c>
      <c r="I44" s="17">
        <f>'CDM Activity'!F72</f>
        <v>65021.345900563872</v>
      </c>
      <c r="J44" s="93">
        <v>30</v>
      </c>
      <c r="K44" s="17">
        <v>2734</v>
      </c>
      <c r="L44" s="10">
        <f t="shared" si="2"/>
        <v>5238186.4503317932</v>
      </c>
      <c r="M44" s="94">
        <f t="shared" si="4"/>
        <v>301004.45033179317</v>
      </c>
      <c r="N44" s="169">
        <f t="shared" si="5"/>
        <v>6.0966853223517622E-2</v>
      </c>
    </row>
    <row r="45" spans="1:33" x14ac:dyDescent="0.25">
      <c r="A45" s="3">
        <v>40360</v>
      </c>
      <c r="B45" s="25">
        <v>4946503</v>
      </c>
      <c r="C45" s="65">
        <f t="shared" si="3"/>
        <v>35.763684210526314</v>
      </c>
      <c r="D45" s="17">
        <v>0</v>
      </c>
      <c r="E45" s="83">
        <f>'Pulp Mill'!G123</f>
        <v>0.5</v>
      </c>
      <c r="F45" s="65">
        <v>59.300000000000004</v>
      </c>
      <c r="G45" s="95">
        <v>336</v>
      </c>
      <c r="H45" s="31">
        <v>136.93840176089088</v>
      </c>
      <c r="I45" s="17">
        <f>'CDM Activity'!F73</f>
        <v>62288.070705795806</v>
      </c>
      <c r="J45" s="93">
        <v>31</v>
      </c>
      <c r="K45" s="17">
        <v>2745</v>
      </c>
      <c r="L45" s="10">
        <f t="shared" si="2"/>
        <v>4941700.071227775</v>
      </c>
      <c r="M45" s="94">
        <f t="shared" si="4"/>
        <v>-4802.9287722250447</v>
      </c>
      <c r="N45" s="169">
        <f t="shared" si="5"/>
        <v>9.7097460008111684E-4</v>
      </c>
    </row>
    <row r="46" spans="1:33" x14ac:dyDescent="0.25">
      <c r="A46" s="3">
        <v>40391</v>
      </c>
      <c r="B46" s="25">
        <v>4852669</v>
      </c>
      <c r="C46" s="65">
        <f t="shared" si="3"/>
        <v>49.53368421052631</v>
      </c>
      <c r="D46" s="17">
        <v>0</v>
      </c>
      <c r="E46" s="83">
        <f>'Pulp Mill'!G124</f>
        <v>0.5</v>
      </c>
      <c r="F46" s="65">
        <v>73.5</v>
      </c>
      <c r="G46" s="95">
        <v>336</v>
      </c>
      <c r="H46" s="31">
        <v>137.30940385330757</v>
      </c>
      <c r="I46" s="17">
        <f>'CDM Activity'!F74</f>
        <v>59554.79551102774</v>
      </c>
      <c r="J46" s="93">
        <v>31</v>
      </c>
      <c r="K46" s="17">
        <v>2754</v>
      </c>
      <c r="L46" s="10">
        <f t="shared" si="2"/>
        <v>5017430.314972207</v>
      </c>
      <c r="M46" s="94">
        <f t="shared" si="4"/>
        <v>164761.31497220695</v>
      </c>
      <c r="N46" s="169">
        <f t="shared" si="5"/>
        <v>3.3952720651708769E-2</v>
      </c>
    </row>
    <row r="47" spans="1:33" x14ac:dyDescent="0.25">
      <c r="A47" s="3">
        <v>40422</v>
      </c>
      <c r="B47" s="25">
        <v>4714401</v>
      </c>
      <c r="C47" s="65">
        <f t="shared" si="3"/>
        <v>162.29315789473685</v>
      </c>
      <c r="D47" s="17">
        <v>1</v>
      </c>
      <c r="E47" s="83">
        <f>'Pulp Mill'!G125</f>
        <v>0</v>
      </c>
      <c r="F47" s="65">
        <v>0</v>
      </c>
      <c r="G47" s="95">
        <v>336</v>
      </c>
      <c r="H47" s="31">
        <v>137.68141108782325</v>
      </c>
      <c r="I47" s="17">
        <f>'CDM Activity'!F75</f>
        <v>56821.520316259674</v>
      </c>
      <c r="J47" s="93">
        <v>30</v>
      </c>
      <c r="K47" s="17">
        <v>2753</v>
      </c>
      <c r="L47" s="10">
        <f t="shared" si="2"/>
        <v>4299488.0175901521</v>
      </c>
      <c r="M47" s="94">
        <f t="shared" si="4"/>
        <v>-414912.9824098479</v>
      </c>
      <c r="N47" s="169">
        <f t="shared" si="5"/>
        <v>8.8009692516578017E-2</v>
      </c>
    </row>
    <row r="48" spans="1:33" x14ac:dyDescent="0.25">
      <c r="A48" s="3">
        <v>40452</v>
      </c>
      <c r="B48" s="25">
        <v>5901217</v>
      </c>
      <c r="C48" s="65">
        <f t="shared" si="3"/>
        <v>383.93315789473684</v>
      </c>
      <c r="D48" s="17">
        <v>1</v>
      </c>
      <c r="E48" s="83">
        <f>'Pulp Mill'!G126</f>
        <v>0</v>
      </c>
      <c r="F48" s="65">
        <v>0</v>
      </c>
      <c r="G48" s="95">
        <v>320</v>
      </c>
      <c r="H48" s="31">
        <v>138.0544261876318</v>
      </c>
      <c r="I48" s="17">
        <f>'CDM Activity'!F76</f>
        <v>54088.245121491607</v>
      </c>
      <c r="J48" s="93">
        <v>31</v>
      </c>
      <c r="K48" s="17">
        <v>2743</v>
      </c>
      <c r="L48" s="10">
        <f t="shared" si="2"/>
        <v>5518431.4615637101</v>
      </c>
      <c r="M48" s="94">
        <f t="shared" si="4"/>
        <v>-382785.53843628988</v>
      </c>
      <c r="N48" s="169">
        <f t="shared" si="5"/>
        <v>6.4865524930923554E-2</v>
      </c>
    </row>
    <row r="49" spans="1:14" x14ac:dyDescent="0.25">
      <c r="A49" s="3">
        <v>40483</v>
      </c>
      <c r="B49" s="25">
        <v>7411913</v>
      </c>
      <c r="C49" s="65">
        <f t="shared" si="3"/>
        <v>633.81999999999994</v>
      </c>
      <c r="D49" s="17">
        <v>1</v>
      </c>
      <c r="E49" s="83">
        <f>'Pulp Mill'!G127</f>
        <v>0</v>
      </c>
      <c r="F49" s="65">
        <v>0</v>
      </c>
      <c r="G49" s="95">
        <v>336</v>
      </c>
      <c r="H49" s="31">
        <v>138.42845188330503</v>
      </c>
      <c r="I49" s="17">
        <f>'CDM Activity'!F77</f>
        <v>51354.969926723541</v>
      </c>
      <c r="J49" s="93">
        <v>30</v>
      </c>
      <c r="K49" s="17">
        <v>2766</v>
      </c>
      <c r="L49" s="10">
        <f t="shared" si="2"/>
        <v>6892722.7804568075</v>
      </c>
      <c r="M49" s="94">
        <f t="shared" si="4"/>
        <v>-519190.21954319254</v>
      </c>
      <c r="N49" s="169">
        <f t="shared" si="5"/>
        <v>7.004807254796333E-2</v>
      </c>
    </row>
    <row r="50" spans="1:14" x14ac:dyDescent="0.25">
      <c r="A50" s="3">
        <v>40513</v>
      </c>
      <c r="B50" s="25">
        <v>6606118</v>
      </c>
      <c r="C50" s="65">
        <f t="shared" si="3"/>
        <v>964.45</v>
      </c>
      <c r="D50" s="17">
        <v>0</v>
      </c>
      <c r="E50" s="83">
        <f>'Pulp Mill'!G128</f>
        <v>0</v>
      </c>
      <c r="F50" s="65">
        <v>0</v>
      </c>
      <c r="G50" s="95">
        <v>368</v>
      </c>
      <c r="H50" s="31">
        <v>138.80349091281266</v>
      </c>
      <c r="I50" s="17">
        <f>'CDM Activity'!F78</f>
        <v>48621.694731955475</v>
      </c>
      <c r="J50" s="93">
        <v>31</v>
      </c>
      <c r="K50" s="17">
        <v>2756</v>
      </c>
      <c r="L50" s="10">
        <f t="shared" si="2"/>
        <v>9282942.05213999</v>
      </c>
      <c r="M50" s="94">
        <f t="shared" si="4"/>
        <v>2676824.05213999</v>
      </c>
      <c r="N50" s="169">
        <f t="shared" si="5"/>
        <v>0.40520379020477532</v>
      </c>
    </row>
    <row r="51" spans="1:14" x14ac:dyDescent="0.25">
      <c r="A51" s="3">
        <v>40544</v>
      </c>
      <c r="B51" s="25">
        <v>12613918</v>
      </c>
      <c r="C51" s="65">
        <f t="shared" si="3"/>
        <v>1113.0699999999997</v>
      </c>
      <c r="D51" s="17">
        <v>0</v>
      </c>
      <c r="E51" s="83">
        <f>'Pulp Mill'!G129</f>
        <v>0</v>
      </c>
      <c r="F51" s="52">
        <v>0</v>
      </c>
      <c r="G51" s="95">
        <v>336</v>
      </c>
      <c r="H51" s="31">
        <v>139.10070640604135</v>
      </c>
      <c r="I51" s="17">
        <f>'CDM Activity'!F79</f>
        <v>51016.248018918013</v>
      </c>
      <c r="J51" s="42">
        <v>31</v>
      </c>
      <c r="K51" s="17">
        <v>2756</v>
      </c>
      <c r="L51" s="10">
        <f t="shared" si="2"/>
        <v>10100300.717738934</v>
      </c>
      <c r="M51" s="94">
        <f t="shared" si="4"/>
        <v>-2513617.2822610661</v>
      </c>
      <c r="N51" s="169">
        <f t="shared" si="5"/>
        <v>0.19927331716133451</v>
      </c>
    </row>
    <row r="52" spans="1:14" x14ac:dyDescent="0.25">
      <c r="A52" s="3">
        <v>40575</v>
      </c>
      <c r="B52" s="25">
        <v>8586533</v>
      </c>
      <c r="C52" s="65">
        <f t="shared" si="3"/>
        <v>953.58894736842126</v>
      </c>
      <c r="D52" s="17">
        <v>0</v>
      </c>
      <c r="E52" s="83">
        <f>'Pulp Mill'!G130</f>
        <v>0</v>
      </c>
      <c r="F52" s="52">
        <v>0</v>
      </c>
      <c r="G52" s="95">
        <v>304</v>
      </c>
      <c r="H52" s="31">
        <v>139.39855831733732</v>
      </c>
      <c r="I52" s="17">
        <f>'CDM Activity'!F80</f>
        <v>53410.801305880552</v>
      </c>
      <c r="J52" s="42">
        <v>28</v>
      </c>
      <c r="K52" s="17">
        <v>2740</v>
      </c>
      <c r="L52" s="10">
        <f t="shared" si="2"/>
        <v>9223210.014150843</v>
      </c>
      <c r="M52" s="94">
        <f t="shared" si="4"/>
        <v>636677.01415084302</v>
      </c>
      <c r="N52" s="169">
        <f t="shared" si="5"/>
        <v>7.4148322046959231E-2</v>
      </c>
    </row>
    <row r="53" spans="1:14" x14ac:dyDescent="0.25">
      <c r="A53" s="3">
        <v>40603</v>
      </c>
      <c r="B53" s="25">
        <v>7047311</v>
      </c>
      <c r="C53" s="65">
        <f t="shared" si="3"/>
        <v>750.64210526315799</v>
      </c>
      <c r="D53" s="17">
        <v>1</v>
      </c>
      <c r="E53" s="83">
        <f>'Pulp Mill'!G131</f>
        <v>0</v>
      </c>
      <c r="F53" s="52">
        <v>0</v>
      </c>
      <c r="G53" s="95">
        <v>368</v>
      </c>
      <c r="H53" s="31">
        <v>139.69704800944226</v>
      </c>
      <c r="I53" s="17">
        <f>'CDM Activity'!F81</f>
        <v>55805.35459284309</v>
      </c>
      <c r="J53" s="42">
        <v>31</v>
      </c>
      <c r="K53" s="17">
        <v>2739</v>
      </c>
      <c r="L53" s="10">
        <f t="shared" si="2"/>
        <v>7535204.0082212687</v>
      </c>
      <c r="M53" s="94">
        <f t="shared" si="4"/>
        <v>487893.00822126865</v>
      </c>
      <c r="N53" s="169">
        <f t="shared" si="5"/>
        <v>6.9231088030777793E-2</v>
      </c>
    </row>
    <row r="54" spans="1:14" x14ac:dyDescent="0.25">
      <c r="A54" s="3">
        <v>40634</v>
      </c>
      <c r="B54" s="25">
        <v>6163169</v>
      </c>
      <c r="C54" s="65">
        <f t="shared" si="3"/>
        <v>492.2847368421053</v>
      </c>
      <c r="D54" s="17">
        <v>1</v>
      </c>
      <c r="E54" s="83">
        <f>'Pulp Mill'!G132</f>
        <v>0</v>
      </c>
      <c r="F54" s="52">
        <v>0</v>
      </c>
      <c r="G54" s="95">
        <v>320</v>
      </c>
      <c r="H54" s="31">
        <v>139.99617684801592</v>
      </c>
      <c r="I54" s="17">
        <f>'CDM Activity'!F82</f>
        <v>58199.907879805629</v>
      </c>
      <c r="J54" s="42">
        <v>30</v>
      </c>
      <c r="K54" s="17">
        <v>2745</v>
      </c>
      <c r="L54" s="10">
        <f t="shared" si="2"/>
        <v>6114327.7203711364</v>
      </c>
      <c r="M54" s="94">
        <f t="shared" si="4"/>
        <v>-48841.279628863558</v>
      </c>
      <c r="N54" s="169">
        <f t="shared" si="5"/>
        <v>7.9247023128626772E-3</v>
      </c>
    </row>
    <row r="55" spans="1:14" x14ac:dyDescent="0.25">
      <c r="A55" s="3">
        <v>40664</v>
      </c>
      <c r="B55" s="25">
        <v>4610688</v>
      </c>
      <c r="C55" s="65">
        <f t="shared" si="3"/>
        <v>260.26000000000005</v>
      </c>
      <c r="D55" s="17">
        <v>1</v>
      </c>
      <c r="E55" s="83">
        <f>'Pulp Mill'!G133</f>
        <v>0</v>
      </c>
      <c r="F55" s="52">
        <v>3.1</v>
      </c>
      <c r="G55" s="95">
        <v>336</v>
      </c>
      <c r="H55" s="31">
        <v>140.29594620164227</v>
      </c>
      <c r="I55" s="17">
        <f>'CDM Activity'!F83</f>
        <v>60594.461166768167</v>
      </c>
      <c r="J55" s="42">
        <v>31</v>
      </c>
      <c r="K55" s="17">
        <v>2741</v>
      </c>
      <c r="L55" s="10">
        <f t="shared" si="2"/>
        <v>4838271.8107276876</v>
      </c>
      <c r="M55" s="94">
        <f t="shared" si="4"/>
        <v>227583.81072768755</v>
      </c>
      <c r="N55" s="169">
        <f t="shared" si="5"/>
        <v>4.9360054449073015E-2</v>
      </c>
    </row>
    <row r="56" spans="1:14" x14ac:dyDescent="0.25">
      <c r="A56" s="3">
        <v>40695</v>
      </c>
      <c r="B56" s="25">
        <v>4667440</v>
      </c>
      <c r="C56" s="65">
        <f t="shared" si="3"/>
        <v>89.673684210526318</v>
      </c>
      <c r="D56" s="17">
        <v>0</v>
      </c>
      <c r="E56" s="83">
        <f>'Pulp Mill'!G134</f>
        <v>0</v>
      </c>
      <c r="F56" s="52">
        <v>24.9</v>
      </c>
      <c r="G56" s="95">
        <v>352</v>
      </c>
      <c r="H56" s="31">
        <v>140.59635744183578</v>
      </c>
      <c r="I56" s="17">
        <f>'CDM Activity'!F84</f>
        <v>62989.014453730706</v>
      </c>
      <c r="J56" s="42">
        <v>30</v>
      </c>
      <c r="K56" s="17">
        <v>2742</v>
      </c>
      <c r="L56" s="10">
        <f t="shared" si="2"/>
        <v>4471974.4692356344</v>
      </c>
      <c r="M56" s="94">
        <f t="shared" si="4"/>
        <v>-195465.53076436557</v>
      </c>
      <c r="N56" s="169">
        <f t="shared" si="5"/>
        <v>4.187853100722571E-2</v>
      </c>
    </row>
    <row r="57" spans="1:14" x14ac:dyDescent="0.25">
      <c r="A57" s="3">
        <v>40725</v>
      </c>
      <c r="B57" s="25">
        <v>4544231</v>
      </c>
      <c r="C57" s="65">
        <f t="shared" si="3"/>
        <v>35.763684210526314</v>
      </c>
      <c r="D57" s="17">
        <v>0</v>
      </c>
      <c r="E57" s="83">
        <f>'Pulp Mill'!G135</f>
        <v>0</v>
      </c>
      <c r="F57" s="52">
        <v>91.3</v>
      </c>
      <c r="G57" s="95">
        <v>320</v>
      </c>
      <c r="H57" s="31">
        <v>140.89741194304773</v>
      </c>
      <c r="I57" s="17">
        <f>'CDM Activity'!F85</f>
        <v>65383.567740693245</v>
      </c>
      <c r="J57" s="42">
        <v>31</v>
      </c>
      <c r="K57" s="17">
        <v>2739</v>
      </c>
      <c r="L57" s="10">
        <f t="shared" si="2"/>
        <v>4175488.0901316162</v>
      </c>
      <c r="M57" s="94">
        <f t="shared" si="4"/>
        <v>-368742.90986838378</v>
      </c>
      <c r="N57" s="169">
        <f t="shared" si="5"/>
        <v>8.1145282858284221E-2</v>
      </c>
    </row>
    <row r="58" spans="1:14" x14ac:dyDescent="0.25">
      <c r="A58" s="3">
        <v>40756</v>
      </c>
      <c r="B58" s="25">
        <v>4713561</v>
      </c>
      <c r="C58" s="65">
        <f t="shared" si="3"/>
        <v>49.53368421052631</v>
      </c>
      <c r="D58" s="17">
        <v>0</v>
      </c>
      <c r="E58" s="83">
        <f>'Pulp Mill'!G136</f>
        <v>0</v>
      </c>
      <c r="F58" s="52">
        <v>51.1</v>
      </c>
      <c r="G58" s="95">
        <v>352</v>
      </c>
      <c r="H58" s="31">
        <v>141.19911108267243</v>
      </c>
      <c r="I58" s="17">
        <f>'CDM Activity'!F86</f>
        <v>67778.121027655783</v>
      </c>
      <c r="J58" s="42">
        <v>31</v>
      </c>
      <c r="K58" s="17">
        <v>5743</v>
      </c>
      <c r="L58" s="10">
        <f t="shared" si="2"/>
        <v>4251218.3338760482</v>
      </c>
      <c r="M58" s="94">
        <f t="shared" si="4"/>
        <v>-462342.66612395179</v>
      </c>
      <c r="N58" s="169">
        <f t="shared" si="5"/>
        <v>9.8087765518246564E-2</v>
      </c>
    </row>
    <row r="59" spans="1:14" x14ac:dyDescent="0.25">
      <c r="A59" s="3">
        <v>40787</v>
      </c>
      <c r="B59" s="25">
        <v>4379673</v>
      </c>
      <c r="C59" s="65">
        <f t="shared" si="3"/>
        <v>162.29315789473685</v>
      </c>
      <c r="D59" s="17">
        <v>1</v>
      </c>
      <c r="E59" s="83">
        <f>'Pulp Mill'!G137</f>
        <v>0</v>
      </c>
      <c r="F59" s="52">
        <v>17.3</v>
      </c>
      <c r="G59" s="95">
        <v>336</v>
      </c>
      <c r="H59" s="31">
        <v>141.50145624105357</v>
      </c>
      <c r="I59" s="17">
        <f>'CDM Activity'!F87</f>
        <v>70172.674314618329</v>
      </c>
      <c r="J59" s="42">
        <v>30</v>
      </c>
      <c r="K59" s="17">
        <v>2746</v>
      </c>
      <c r="L59" s="10">
        <f t="shared" si="2"/>
        <v>4299488.0175901521</v>
      </c>
      <c r="M59" s="94">
        <f t="shared" si="4"/>
        <v>-80184.9824098479</v>
      </c>
      <c r="N59" s="169">
        <f t="shared" si="5"/>
        <v>1.8308440472575897E-2</v>
      </c>
    </row>
    <row r="60" spans="1:14" x14ac:dyDescent="0.25">
      <c r="A60" s="3">
        <v>40817</v>
      </c>
      <c r="B60" s="25">
        <v>5778261</v>
      </c>
      <c r="C60" s="65">
        <f t="shared" si="3"/>
        <v>383.93315789473684</v>
      </c>
      <c r="D60" s="17">
        <v>1</v>
      </c>
      <c r="E60" s="83">
        <f>'Pulp Mill'!G138</f>
        <v>0</v>
      </c>
      <c r="F60" s="52">
        <v>3</v>
      </c>
      <c r="G60" s="95">
        <v>320</v>
      </c>
      <c r="H60" s="31">
        <v>141.80444880149057</v>
      </c>
      <c r="I60" s="17">
        <f>'CDM Activity'!F88</f>
        <v>72567.227601580875</v>
      </c>
      <c r="J60" s="42">
        <v>31</v>
      </c>
      <c r="K60" s="17">
        <v>2777</v>
      </c>
      <c r="L60" s="10">
        <f t="shared" si="2"/>
        <v>5518431.4615637101</v>
      </c>
      <c r="M60" s="94">
        <f t="shared" si="4"/>
        <v>-259829.53843628988</v>
      </c>
      <c r="N60" s="169">
        <f t="shared" si="5"/>
        <v>4.4966736261357852E-2</v>
      </c>
    </row>
    <row r="61" spans="1:14" x14ac:dyDescent="0.25">
      <c r="A61" s="3">
        <v>40848</v>
      </c>
      <c r="B61" s="25">
        <v>7473290</v>
      </c>
      <c r="C61" s="65">
        <f t="shared" si="3"/>
        <v>633.81999999999994</v>
      </c>
      <c r="D61" s="17">
        <v>1</v>
      </c>
      <c r="E61" s="83">
        <f>'Pulp Mill'!G139</f>
        <v>0</v>
      </c>
      <c r="F61" s="52">
        <v>0</v>
      </c>
      <c r="G61" s="95">
        <v>352</v>
      </c>
      <c r="H61" s="31">
        <v>142.10809015024478</v>
      </c>
      <c r="I61" s="17">
        <f>'CDM Activity'!F89</f>
        <v>74961.780888543421</v>
      </c>
      <c r="J61" s="42">
        <v>30</v>
      </c>
      <c r="K61" s="17">
        <v>2746</v>
      </c>
      <c r="L61" s="10">
        <f t="shared" si="2"/>
        <v>6892722.7804568075</v>
      </c>
      <c r="M61" s="94">
        <f t="shared" si="4"/>
        <v>-580567.21954319254</v>
      </c>
      <c r="N61" s="169">
        <f t="shared" si="5"/>
        <v>7.76856270187819E-2</v>
      </c>
    </row>
    <row r="62" spans="1:14" x14ac:dyDescent="0.25">
      <c r="A62" s="3">
        <v>40878</v>
      </c>
      <c r="B62" s="25">
        <v>5821238</v>
      </c>
      <c r="C62" s="65">
        <f t="shared" si="3"/>
        <v>964.45</v>
      </c>
      <c r="D62" s="17">
        <v>0</v>
      </c>
      <c r="E62" s="83">
        <f>'Pulp Mill'!G140</f>
        <v>0</v>
      </c>
      <c r="F62" s="52">
        <v>0</v>
      </c>
      <c r="G62" s="95">
        <v>336</v>
      </c>
      <c r="H62" s="31">
        <v>142.41238167654581</v>
      </c>
      <c r="I62" s="17">
        <f>'CDM Activity'!F90</f>
        <v>77356.334175505966</v>
      </c>
      <c r="J62" s="42">
        <v>31</v>
      </c>
      <c r="K62" s="17">
        <v>2760</v>
      </c>
      <c r="L62" s="10">
        <f t="shared" si="2"/>
        <v>9282942.05213999</v>
      </c>
      <c r="M62" s="94">
        <f t="shared" si="4"/>
        <v>3461704.05213999</v>
      </c>
      <c r="N62" s="169">
        <f t="shared" si="5"/>
        <v>0.59466801600277985</v>
      </c>
    </row>
    <row r="63" spans="1:14" x14ac:dyDescent="0.25">
      <c r="A63" s="3">
        <v>40909</v>
      </c>
      <c r="B63" s="25">
        <v>11952459</v>
      </c>
      <c r="C63" s="65">
        <f t="shared" si="3"/>
        <v>1113.0699999999997</v>
      </c>
      <c r="D63" s="17">
        <v>0</v>
      </c>
      <c r="E63" s="83">
        <f>'Pulp Mill'!G141</f>
        <v>0</v>
      </c>
      <c r="F63" s="52">
        <v>0</v>
      </c>
      <c r="G63" s="95">
        <v>336</v>
      </c>
      <c r="H63" s="31">
        <v>142.61257743956915</v>
      </c>
      <c r="I63" s="17">
        <f>'CDM Activity'!F91</f>
        <v>75974.615245201145</v>
      </c>
      <c r="J63" s="94">
        <v>31</v>
      </c>
      <c r="K63" s="17">
        <v>2753</v>
      </c>
      <c r="L63" s="10">
        <f t="shared" si="2"/>
        <v>10100300.717738934</v>
      </c>
      <c r="M63" s="94">
        <f t="shared" si="4"/>
        <v>-1852158.2822610661</v>
      </c>
      <c r="N63" s="169">
        <f t="shared" si="5"/>
        <v>0.15496043803714918</v>
      </c>
    </row>
    <row r="64" spans="1:14" x14ac:dyDescent="0.25">
      <c r="A64" s="3">
        <v>40940</v>
      </c>
      <c r="B64" s="25">
        <v>7823110</v>
      </c>
      <c r="C64" s="65">
        <f t="shared" si="3"/>
        <v>953.58894736842126</v>
      </c>
      <c r="D64" s="17">
        <v>0</v>
      </c>
      <c r="E64" s="83">
        <f>'Pulp Mill'!G142</f>
        <v>0</v>
      </c>
      <c r="F64" s="52">
        <v>0</v>
      </c>
      <c r="G64" s="95">
        <v>320</v>
      </c>
      <c r="H64" s="31">
        <v>142.81305462716429</v>
      </c>
      <c r="I64" s="17">
        <f>'CDM Activity'!F92</f>
        <v>74592.896314896323</v>
      </c>
      <c r="J64" s="94">
        <v>29</v>
      </c>
      <c r="K64" s="17">
        <v>2740</v>
      </c>
      <c r="L64" s="10">
        <f t="shared" si="2"/>
        <v>9223210.014150843</v>
      </c>
      <c r="M64" s="94">
        <f t="shared" si="4"/>
        <v>1400100.014150843</v>
      </c>
      <c r="N64" s="169">
        <f t="shared" si="5"/>
        <v>0.17896974657787543</v>
      </c>
    </row>
    <row r="65" spans="1:14" x14ac:dyDescent="0.25">
      <c r="A65" s="3">
        <v>40969</v>
      </c>
      <c r="B65" s="25">
        <v>6483399</v>
      </c>
      <c r="C65" s="65">
        <f t="shared" si="3"/>
        <v>750.64210526315799</v>
      </c>
      <c r="D65" s="17">
        <v>1</v>
      </c>
      <c r="E65" s="83">
        <f>'Pulp Mill'!G143</f>
        <v>0</v>
      </c>
      <c r="F65" s="52">
        <v>0</v>
      </c>
      <c r="G65" s="95">
        <v>352</v>
      </c>
      <c r="H65" s="31">
        <v>143.01381363494295</v>
      </c>
      <c r="I65" s="17">
        <f>'CDM Activity'!F93</f>
        <v>73211.177384591501</v>
      </c>
      <c r="J65" s="94">
        <v>31</v>
      </c>
      <c r="K65" s="17">
        <v>2747</v>
      </c>
      <c r="L65" s="10">
        <f t="shared" si="2"/>
        <v>7535204.0082212687</v>
      </c>
      <c r="M65" s="94">
        <f t="shared" si="4"/>
        <v>1051805.0082212687</v>
      </c>
      <c r="N65" s="169">
        <f t="shared" si="5"/>
        <v>0.16223049178698837</v>
      </c>
    </row>
    <row r="66" spans="1:14" x14ac:dyDescent="0.25">
      <c r="A66" s="3">
        <v>41000</v>
      </c>
      <c r="B66" s="25">
        <v>5203128</v>
      </c>
      <c r="C66" s="65">
        <f t="shared" si="3"/>
        <v>492.2847368421053</v>
      </c>
      <c r="D66" s="17">
        <v>1</v>
      </c>
      <c r="E66" s="83">
        <f>'Pulp Mill'!G144</f>
        <v>0</v>
      </c>
      <c r="F66" s="52">
        <v>0</v>
      </c>
      <c r="G66" s="95">
        <v>320</v>
      </c>
      <c r="H66" s="31">
        <v>143.21485485907297</v>
      </c>
      <c r="I66" s="17">
        <f>'CDM Activity'!F94</f>
        <v>71829.45845428668</v>
      </c>
      <c r="J66" s="94">
        <v>30</v>
      </c>
      <c r="K66" s="17">
        <v>2740</v>
      </c>
      <c r="L66" s="10">
        <f t="shared" si="2"/>
        <v>6114327.7203711364</v>
      </c>
      <c r="M66" s="94">
        <f t="shared" si="4"/>
        <v>911199.72037113644</v>
      </c>
      <c r="N66" s="169">
        <f t="shared" si="5"/>
        <v>0.17512537080985446</v>
      </c>
    </row>
    <row r="67" spans="1:14" x14ac:dyDescent="0.25">
      <c r="A67" s="3">
        <v>41030</v>
      </c>
      <c r="B67" s="25">
        <v>4764670</v>
      </c>
      <c r="C67" s="65">
        <f t="shared" si="3"/>
        <v>260.26000000000005</v>
      </c>
      <c r="D67" s="17">
        <v>1</v>
      </c>
      <c r="E67" s="83">
        <f>'Pulp Mill'!G145</f>
        <v>0</v>
      </c>
      <c r="F67" s="52">
        <v>1.3</v>
      </c>
      <c r="G67" s="95">
        <v>352</v>
      </c>
      <c r="H67" s="31">
        <v>143.41617869627913</v>
      </c>
      <c r="I67" s="17">
        <f>'CDM Activity'!F95</f>
        <v>70447.739523981858</v>
      </c>
      <c r="J67" s="94">
        <v>31</v>
      </c>
      <c r="K67" s="17">
        <v>2754</v>
      </c>
      <c r="L67" s="10">
        <f t="shared" si="2"/>
        <v>4838271.8107276876</v>
      </c>
      <c r="M67" s="94">
        <f t="shared" ref="M67:M98" si="6">L67-B67</f>
        <v>73601.810727687553</v>
      </c>
      <c r="N67" s="169">
        <f t="shared" ref="N67:N98" si="7">ABS(M67/B67)</f>
        <v>1.5447409941861147E-2</v>
      </c>
    </row>
    <row r="68" spans="1:14" x14ac:dyDescent="0.25">
      <c r="A68" s="3">
        <v>41061</v>
      </c>
      <c r="B68" s="25">
        <v>4353013</v>
      </c>
      <c r="C68" s="65">
        <f t="shared" si="3"/>
        <v>89.673684210526318</v>
      </c>
      <c r="D68" s="17">
        <v>0</v>
      </c>
      <c r="E68" s="83">
        <f>'Pulp Mill'!G146</f>
        <v>0</v>
      </c>
      <c r="F68" s="52">
        <v>37.4</v>
      </c>
      <c r="G68" s="95">
        <v>336</v>
      </c>
      <c r="H68" s="31">
        <v>143.61778554384387</v>
      </c>
      <c r="I68" s="17">
        <f>'CDM Activity'!F96</f>
        <v>69066.020593677036</v>
      </c>
      <c r="J68" s="94">
        <v>30</v>
      </c>
      <c r="K68" s="17">
        <v>2759</v>
      </c>
      <c r="L68" s="10">
        <f t="shared" ref="L68:L131" si="8">$P$18+C68*$P$19+D68*$P$20+E68*$P$21</f>
        <v>4471974.4692356344</v>
      </c>
      <c r="M68" s="94">
        <f t="shared" si="6"/>
        <v>118961.46923563443</v>
      </c>
      <c r="N68" s="169">
        <f t="shared" si="7"/>
        <v>2.732853525492215E-2</v>
      </c>
    </row>
    <row r="69" spans="1:14" x14ac:dyDescent="0.25">
      <c r="A69" s="3">
        <v>41091</v>
      </c>
      <c r="B69" s="25">
        <v>4757337</v>
      </c>
      <c r="C69" s="65">
        <f t="shared" si="3"/>
        <v>35.763684210526314</v>
      </c>
      <c r="D69" s="17">
        <v>0</v>
      </c>
      <c r="E69" s="83">
        <f>'Pulp Mill'!G147</f>
        <v>0</v>
      </c>
      <c r="F69" s="52">
        <v>115.00000000000003</v>
      </c>
      <c r="G69" s="95">
        <v>336</v>
      </c>
      <c r="H69" s="31">
        <v>143.81967579960809</v>
      </c>
      <c r="I69" s="17">
        <f>'CDM Activity'!F97</f>
        <v>67684.301663372215</v>
      </c>
      <c r="J69" s="94">
        <v>31</v>
      </c>
      <c r="K69" s="17">
        <v>2759</v>
      </c>
      <c r="L69" s="10">
        <f t="shared" si="8"/>
        <v>4175488.0901316162</v>
      </c>
      <c r="M69" s="94">
        <f t="shared" si="6"/>
        <v>-581848.90986838378</v>
      </c>
      <c r="N69" s="169">
        <f t="shared" si="7"/>
        <v>0.12230559026370925</v>
      </c>
    </row>
    <row r="70" spans="1:14" x14ac:dyDescent="0.25">
      <c r="A70" s="3">
        <v>41122</v>
      </c>
      <c r="B70" s="25">
        <v>4525059</v>
      </c>
      <c r="C70" s="65">
        <f t="shared" si="3"/>
        <v>49.53368421052631</v>
      </c>
      <c r="D70" s="17">
        <v>0</v>
      </c>
      <c r="E70" s="83">
        <f>'Pulp Mill'!G148</f>
        <v>0</v>
      </c>
      <c r="F70" s="52">
        <v>31.799999999999994</v>
      </c>
      <c r="G70" s="95">
        <v>352</v>
      </c>
      <c r="H70" s="31">
        <v>144.02184986197204</v>
      </c>
      <c r="I70" s="17">
        <f>'CDM Activity'!F98</f>
        <v>66302.582733067393</v>
      </c>
      <c r="J70" s="94">
        <v>31</v>
      </c>
      <c r="K70" s="17">
        <v>2777</v>
      </c>
      <c r="L70" s="10">
        <f t="shared" si="8"/>
        <v>4251218.3338760482</v>
      </c>
      <c r="M70" s="94">
        <f t="shared" si="6"/>
        <v>-273840.66612395179</v>
      </c>
      <c r="N70" s="169">
        <f t="shared" si="7"/>
        <v>6.05164852268118E-2</v>
      </c>
    </row>
    <row r="71" spans="1:14" x14ac:dyDescent="0.25">
      <c r="A71" s="3">
        <v>41153</v>
      </c>
      <c r="B71" s="25">
        <v>5170716</v>
      </c>
      <c r="C71" s="65">
        <f t="shared" si="3"/>
        <v>162.29315789473685</v>
      </c>
      <c r="D71" s="17">
        <v>1</v>
      </c>
      <c r="E71" s="83">
        <f>'Pulp Mill'!G149</f>
        <v>0</v>
      </c>
      <c r="F71" s="52">
        <v>9.1999999999999993</v>
      </c>
      <c r="G71" s="95">
        <v>304</v>
      </c>
      <c r="H71" s="31">
        <v>144.22430812989595</v>
      </c>
      <c r="I71" s="17">
        <f>'CDM Activity'!F99</f>
        <v>64920.863802762571</v>
      </c>
      <c r="J71" s="94">
        <v>30</v>
      </c>
      <c r="K71" s="17">
        <v>2771</v>
      </c>
      <c r="L71" s="10">
        <f t="shared" si="8"/>
        <v>4299488.0175901521</v>
      </c>
      <c r="M71" s="94">
        <f t="shared" si="6"/>
        <v>-871227.9824098479</v>
      </c>
      <c r="N71" s="169">
        <f t="shared" si="7"/>
        <v>0.1684927159816644</v>
      </c>
    </row>
    <row r="72" spans="1:14" x14ac:dyDescent="0.25">
      <c r="A72" s="3">
        <v>41183</v>
      </c>
      <c r="B72" s="25">
        <v>6054498</v>
      </c>
      <c r="C72" s="65">
        <f t="shared" si="3"/>
        <v>383.93315789473684</v>
      </c>
      <c r="D72" s="17">
        <v>1</v>
      </c>
      <c r="E72" s="83">
        <f>'Pulp Mill'!G150</f>
        <v>0</v>
      </c>
      <c r="F72" s="52">
        <v>0</v>
      </c>
      <c r="G72" s="95">
        <v>352</v>
      </c>
      <c r="H72" s="31">
        <v>144.42705100290087</v>
      </c>
      <c r="I72" s="17">
        <f>'CDM Activity'!F100</f>
        <v>63539.144872457749</v>
      </c>
      <c r="J72" s="94">
        <v>31</v>
      </c>
      <c r="K72" s="17">
        <v>2763</v>
      </c>
      <c r="L72" s="10">
        <f t="shared" si="8"/>
        <v>5518431.4615637101</v>
      </c>
      <c r="M72" s="94">
        <f t="shared" si="6"/>
        <v>-536066.53843628988</v>
      </c>
      <c r="N72" s="169">
        <f t="shared" si="7"/>
        <v>8.85402123241745E-2</v>
      </c>
    </row>
    <row r="73" spans="1:14" x14ac:dyDescent="0.25">
      <c r="A73" s="3">
        <v>41214</v>
      </c>
      <c r="B73" s="25">
        <v>8297344</v>
      </c>
      <c r="C73" s="65">
        <f t="shared" si="3"/>
        <v>633.81999999999994</v>
      </c>
      <c r="D73" s="17">
        <v>1</v>
      </c>
      <c r="E73" s="83">
        <f>'Pulp Mill'!G151</f>
        <v>0</v>
      </c>
      <c r="F73" s="52">
        <v>0</v>
      </c>
      <c r="G73" s="95">
        <v>352</v>
      </c>
      <c r="H73" s="31">
        <v>144.63007888106955</v>
      </c>
      <c r="I73" s="17">
        <f>'CDM Activity'!F101</f>
        <v>62157.425942152928</v>
      </c>
      <c r="J73" s="94">
        <v>30</v>
      </c>
      <c r="K73" s="17">
        <v>2770</v>
      </c>
      <c r="L73" s="10">
        <f t="shared" si="8"/>
        <v>6892722.7804568075</v>
      </c>
      <c r="M73" s="94">
        <f t="shared" si="6"/>
        <v>-1404621.2195431925</v>
      </c>
      <c r="N73" s="169">
        <f t="shared" si="7"/>
        <v>0.16928564364008442</v>
      </c>
    </row>
    <row r="74" spans="1:14" x14ac:dyDescent="0.25">
      <c r="A74" s="3">
        <v>41244</v>
      </c>
      <c r="B74" s="25">
        <v>6216901</v>
      </c>
      <c r="C74" s="65">
        <f t="shared" si="3"/>
        <v>964.45</v>
      </c>
      <c r="D74" s="17">
        <v>0</v>
      </c>
      <c r="E74" s="83">
        <f>'Pulp Mill'!G152</f>
        <v>0</v>
      </c>
      <c r="F74" s="52">
        <v>0</v>
      </c>
      <c r="G74" s="95">
        <v>304</v>
      </c>
      <c r="H74" s="31">
        <v>144.83339216504706</v>
      </c>
      <c r="I74" s="17">
        <f>'CDM Activity'!F102</f>
        <v>60775.707011848106</v>
      </c>
      <c r="J74" s="94">
        <v>31</v>
      </c>
      <c r="K74" s="17">
        <v>2759</v>
      </c>
      <c r="L74" s="10">
        <f t="shared" si="8"/>
        <v>9282942.05213999</v>
      </c>
      <c r="M74" s="94">
        <f t="shared" si="6"/>
        <v>3066041.05213999</v>
      </c>
      <c r="N74" s="169">
        <f t="shared" si="7"/>
        <v>0.49317836203922016</v>
      </c>
    </row>
    <row r="75" spans="1:14" x14ac:dyDescent="0.25">
      <c r="A75" s="3">
        <v>41275</v>
      </c>
      <c r="B75" s="25">
        <v>13667507</v>
      </c>
      <c r="C75" s="65">
        <f t="shared" si="3"/>
        <v>1113.0699999999997</v>
      </c>
      <c r="D75" s="17">
        <v>0</v>
      </c>
      <c r="E75" s="83">
        <f>'Pulp Mill'!G153</f>
        <v>0</v>
      </c>
      <c r="F75" s="52">
        <v>0</v>
      </c>
      <c r="G75" s="95">
        <v>352</v>
      </c>
      <c r="H75" s="31">
        <v>144.98936781896037</v>
      </c>
      <c r="I75" s="17">
        <f>'CDM Activity'!F103</f>
        <v>64022.129699964593</v>
      </c>
      <c r="J75" s="94">
        <v>31</v>
      </c>
      <c r="K75" s="17">
        <v>2766</v>
      </c>
      <c r="L75" s="10">
        <f t="shared" si="8"/>
        <v>10100300.717738934</v>
      </c>
      <c r="M75" s="94">
        <f t="shared" si="6"/>
        <v>-3567206.2822610661</v>
      </c>
      <c r="N75" s="169">
        <f t="shared" si="7"/>
        <v>0.26099904556559334</v>
      </c>
    </row>
    <row r="76" spans="1:14" x14ac:dyDescent="0.25">
      <c r="A76" s="3">
        <v>41306</v>
      </c>
      <c r="B76" s="25">
        <v>9570501</v>
      </c>
      <c r="C76" s="65">
        <f t="shared" si="3"/>
        <v>953.58894736842126</v>
      </c>
      <c r="D76" s="17">
        <v>0</v>
      </c>
      <c r="E76" s="83">
        <f>'Pulp Mill'!G154</f>
        <v>0</v>
      </c>
      <c r="F76" s="52">
        <v>0</v>
      </c>
      <c r="G76" s="95">
        <v>304</v>
      </c>
      <c r="H76" s="31">
        <v>145.14551144798114</v>
      </c>
      <c r="I76" s="17">
        <f>'CDM Activity'!F104</f>
        <v>67268.55238808108</v>
      </c>
      <c r="J76" s="94">
        <v>28</v>
      </c>
      <c r="K76" s="17">
        <v>2764</v>
      </c>
      <c r="L76" s="10">
        <f t="shared" si="8"/>
        <v>9223210.014150843</v>
      </c>
      <c r="M76" s="94">
        <f t="shared" si="6"/>
        <v>-347290.98584915698</v>
      </c>
      <c r="N76" s="169">
        <f t="shared" si="7"/>
        <v>3.6287649502273388E-2</v>
      </c>
    </row>
    <row r="77" spans="1:14" x14ac:dyDescent="0.25">
      <c r="A77" s="3">
        <v>41334</v>
      </c>
      <c r="B77" s="25">
        <v>7901671</v>
      </c>
      <c r="C77" s="65">
        <f t="shared" si="3"/>
        <v>750.64210526315799</v>
      </c>
      <c r="D77" s="17">
        <v>1</v>
      </c>
      <c r="E77" s="83">
        <f>'Pulp Mill'!G155</f>
        <v>0</v>
      </c>
      <c r="F77" s="52">
        <v>0</v>
      </c>
      <c r="G77" s="95">
        <v>320</v>
      </c>
      <c r="H77" s="31">
        <v>145.30182323300707</v>
      </c>
      <c r="I77" s="17">
        <f>'CDM Activity'!F105</f>
        <v>70514.975076197574</v>
      </c>
      <c r="J77" s="94">
        <v>31</v>
      </c>
      <c r="K77" s="17">
        <v>2763</v>
      </c>
      <c r="L77" s="10">
        <f t="shared" si="8"/>
        <v>7535204.0082212687</v>
      </c>
      <c r="M77" s="94">
        <f t="shared" si="6"/>
        <v>-366466.99177873135</v>
      </c>
      <c r="N77" s="169">
        <f t="shared" si="7"/>
        <v>4.6378416891658912E-2</v>
      </c>
    </row>
    <row r="78" spans="1:14" x14ac:dyDescent="0.25">
      <c r="A78" s="3">
        <v>41365</v>
      </c>
      <c r="B78" s="25">
        <v>6477370.4199999999</v>
      </c>
      <c r="C78" s="65">
        <f t="shared" si="3"/>
        <v>492.2847368421053</v>
      </c>
      <c r="D78" s="17">
        <v>1</v>
      </c>
      <c r="E78" s="83">
        <f>'Pulp Mill'!G156</f>
        <v>0.5</v>
      </c>
      <c r="F78" s="52">
        <v>0</v>
      </c>
      <c r="G78" s="95">
        <v>352</v>
      </c>
      <c r="H78" s="31">
        <v>145.45830335513068</v>
      </c>
      <c r="I78" s="17">
        <f>'CDM Activity'!F106</f>
        <v>73761.397764314068</v>
      </c>
      <c r="J78" s="94">
        <v>30</v>
      </c>
      <c r="K78" s="17">
        <v>2763</v>
      </c>
      <c r="L78" s="10">
        <f t="shared" si="8"/>
        <v>6880539.7014672952</v>
      </c>
      <c r="M78" s="94">
        <f t="shared" si="6"/>
        <v>403169.28146729525</v>
      </c>
      <c r="N78" s="169">
        <f t="shared" si="7"/>
        <v>6.2242739773294496E-2</v>
      </c>
    </row>
    <row r="79" spans="1:14" x14ac:dyDescent="0.25">
      <c r="A79" s="3">
        <v>41395</v>
      </c>
      <c r="B79" s="25">
        <v>5601843.8399999999</v>
      </c>
      <c r="C79" s="65">
        <f t="shared" si="3"/>
        <v>260.26000000000005</v>
      </c>
      <c r="D79" s="17">
        <v>1</v>
      </c>
      <c r="E79" s="83">
        <f>'Pulp Mill'!G157</f>
        <v>0.5</v>
      </c>
      <c r="F79" s="52">
        <v>0.5</v>
      </c>
      <c r="G79" s="95">
        <v>352</v>
      </c>
      <c r="H79" s="31">
        <v>145.6149519956395</v>
      </c>
      <c r="I79" s="17">
        <f>'CDM Activity'!F107</f>
        <v>77007.820452430562</v>
      </c>
      <c r="J79" s="94">
        <v>31</v>
      </c>
      <c r="K79" s="17">
        <v>2769</v>
      </c>
      <c r="L79" s="10">
        <f t="shared" si="8"/>
        <v>5604483.7918238463</v>
      </c>
      <c r="M79" s="94">
        <f t="shared" si="6"/>
        <v>2639.951823846437</v>
      </c>
      <c r="N79" s="169">
        <f t="shared" si="7"/>
        <v>4.7126480124202053E-4</v>
      </c>
    </row>
    <row r="80" spans="1:14" x14ac:dyDescent="0.25">
      <c r="A80" s="3">
        <v>41426</v>
      </c>
      <c r="B80" s="25">
        <v>4945616.87</v>
      </c>
      <c r="C80" s="65">
        <f t="shared" ref="C80:C143" si="9">C68</f>
        <v>89.673684210526318</v>
      </c>
      <c r="D80" s="17">
        <v>0</v>
      </c>
      <c r="E80" s="83">
        <f>'Pulp Mill'!G158</f>
        <v>0.5</v>
      </c>
      <c r="F80" s="52">
        <v>10.3</v>
      </c>
      <c r="G80" s="95">
        <v>320</v>
      </c>
      <c r="H80" s="31">
        <v>145.77176933601632</v>
      </c>
      <c r="I80" s="17">
        <f>'CDM Activity'!F108</f>
        <v>80254.243140547056</v>
      </c>
      <c r="J80" s="94">
        <v>30</v>
      </c>
      <c r="K80" s="17">
        <v>2765</v>
      </c>
      <c r="L80" s="10">
        <f t="shared" si="8"/>
        <v>5238186.4503317932</v>
      </c>
      <c r="M80" s="94">
        <f t="shared" si="6"/>
        <v>292569.58033179305</v>
      </c>
      <c r="N80" s="169">
        <f t="shared" si="7"/>
        <v>5.9157348420277658E-2</v>
      </c>
    </row>
    <row r="81" spans="1:14" x14ac:dyDescent="0.25">
      <c r="A81" s="3">
        <v>41456</v>
      </c>
      <c r="B81" s="25">
        <v>5188029.2300000004</v>
      </c>
      <c r="C81" s="65">
        <f t="shared" si="9"/>
        <v>35.763684210526314</v>
      </c>
      <c r="D81" s="17">
        <v>0</v>
      </c>
      <c r="E81" s="83">
        <f>'Pulp Mill'!G159</f>
        <v>0.5</v>
      </c>
      <c r="F81" s="52">
        <v>52.7</v>
      </c>
      <c r="G81" s="95">
        <v>352</v>
      </c>
      <c r="H81" s="31">
        <v>145.92875555793933</v>
      </c>
      <c r="I81" s="17">
        <f>'CDM Activity'!F109</f>
        <v>83500.66582866355</v>
      </c>
      <c r="J81" s="94">
        <v>31</v>
      </c>
      <c r="K81" s="17">
        <v>2754</v>
      </c>
      <c r="L81" s="10">
        <f t="shared" si="8"/>
        <v>4941700.071227775</v>
      </c>
      <c r="M81" s="94">
        <f t="shared" si="6"/>
        <v>-246329.15877222549</v>
      </c>
      <c r="N81" s="169">
        <f t="shared" si="7"/>
        <v>4.7480295089282962E-2</v>
      </c>
    </row>
    <row r="82" spans="1:14" x14ac:dyDescent="0.25">
      <c r="A82" s="3">
        <v>41487</v>
      </c>
      <c r="B82" s="25">
        <v>5038057.58</v>
      </c>
      <c r="C82" s="65">
        <f t="shared" si="9"/>
        <v>49.53368421052631</v>
      </c>
      <c r="D82" s="17">
        <v>0</v>
      </c>
      <c r="E82" s="83">
        <f>'Pulp Mill'!G160</f>
        <v>0.5</v>
      </c>
      <c r="F82" s="52">
        <v>48.4</v>
      </c>
      <c r="G82" s="95">
        <v>336</v>
      </c>
      <c r="H82" s="31">
        <v>146.08591084328242</v>
      </c>
      <c r="I82" s="17">
        <f>'CDM Activity'!F110</f>
        <v>86747.088516780044</v>
      </c>
      <c r="J82" s="94">
        <v>31</v>
      </c>
      <c r="K82" s="17">
        <v>2777</v>
      </c>
      <c r="L82" s="10">
        <f t="shared" si="8"/>
        <v>5017430.314972207</v>
      </c>
      <c r="M82" s="94">
        <f t="shared" si="6"/>
        <v>-20627.265027793124</v>
      </c>
      <c r="N82" s="169">
        <f t="shared" si="7"/>
        <v>4.094289257367544E-3</v>
      </c>
    </row>
    <row r="83" spans="1:14" x14ac:dyDescent="0.25">
      <c r="A83" s="3">
        <v>41518</v>
      </c>
      <c r="B83" s="25">
        <v>4809561.68</v>
      </c>
      <c r="C83" s="65">
        <f t="shared" si="9"/>
        <v>162.29315789473685</v>
      </c>
      <c r="D83" s="17">
        <v>1</v>
      </c>
      <c r="E83" s="83">
        <f>'Pulp Mill'!G161</f>
        <v>0.5</v>
      </c>
      <c r="F83" s="52">
        <v>3.4000000000000004</v>
      </c>
      <c r="G83" s="95">
        <v>320</v>
      </c>
      <c r="H83" s="31">
        <v>146.2432353741153</v>
      </c>
      <c r="I83" s="17">
        <f>'CDM Activity'!F111</f>
        <v>89993.511204896538</v>
      </c>
      <c r="J83" s="94">
        <v>30</v>
      </c>
      <c r="K83" s="17">
        <v>2774</v>
      </c>
      <c r="L83" s="10">
        <f t="shared" si="8"/>
        <v>5065699.9986863108</v>
      </c>
      <c r="M83" s="94">
        <f t="shared" si="6"/>
        <v>256138.31868631113</v>
      </c>
      <c r="N83" s="169">
        <f t="shared" si="7"/>
        <v>5.3256062761692487E-2</v>
      </c>
    </row>
    <row r="84" spans="1:14" x14ac:dyDescent="0.25">
      <c r="A84" s="3">
        <v>41548</v>
      </c>
      <c r="B84" s="25">
        <v>7192825.3200000003</v>
      </c>
      <c r="C84" s="65">
        <f t="shared" si="9"/>
        <v>383.93315789473684</v>
      </c>
      <c r="D84" s="17">
        <v>1</v>
      </c>
      <c r="E84" s="83">
        <f>'Pulp Mill'!G162</f>
        <v>0.5</v>
      </c>
      <c r="F84" s="52">
        <v>0</v>
      </c>
      <c r="G84" s="95">
        <v>352</v>
      </c>
      <c r="H84" s="31">
        <v>146.4007293327038</v>
      </c>
      <c r="I84" s="17">
        <f>'CDM Activity'!F112</f>
        <v>93239.933893013033</v>
      </c>
      <c r="J84" s="94">
        <v>31</v>
      </c>
      <c r="K84" s="17">
        <v>2767</v>
      </c>
      <c r="L84" s="10">
        <f t="shared" si="8"/>
        <v>6284643.4426598689</v>
      </c>
      <c r="M84" s="94">
        <f t="shared" si="6"/>
        <v>-908181.87734013144</v>
      </c>
      <c r="N84" s="169">
        <f t="shared" si="7"/>
        <v>0.1262621900207819</v>
      </c>
    </row>
    <row r="85" spans="1:14" x14ac:dyDescent="0.25">
      <c r="A85" s="3">
        <v>41579</v>
      </c>
      <c r="B85" s="25">
        <v>8675052.9000000004</v>
      </c>
      <c r="C85" s="65">
        <f t="shared" si="9"/>
        <v>633.81999999999994</v>
      </c>
      <c r="D85" s="17">
        <v>1</v>
      </c>
      <c r="E85" s="83">
        <f>'Pulp Mill'!G163</f>
        <v>0.5</v>
      </c>
      <c r="F85" s="52">
        <v>0</v>
      </c>
      <c r="G85" s="95">
        <v>336</v>
      </c>
      <c r="H85" s="31">
        <v>146.55839290151005</v>
      </c>
      <c r="I85" s="17">
        <f>'CDM Activity'!F113</f>
        <v>96486.356581129527</v>
      </c>
      <c r="J85" s="94">
        <v>30</v>
      </c>
      <c r="K85" s="17">
        <v>2777</v>
      </c>
      <c r="L85" s="10">
        <f t="shared" si="8"/>
        <v>7658934.7615529662</v>
      </c>
      <c r="M85" s="94">
        <f t="shared" si="6"/>
        <v>-1016118.1384470342</v>
      </c>
      <c r="N85" s="169">
        <f t="shared" si="7"/>
        <v>0.11713105962120809</v>
      </c>
    </row>
    <row r="86" spans="1:14" x14ac:dyDescent="0.25">
      <c r="A86" s="3">
        <v>41609</v>
      </c>
      <c r="B86" s="25">
        <v>8624286</v>
      </c>
      <c r="C86" s="65">
        <f t="shared" si="9"/>
        <v>964.45</v>
      </c>
      <c r="D86" s="17">
        <v>0</v>
      </c>
      <c r="E86" s="83">
        <f>'Pulp Mill'!G164</f>
        <v>0.5</v>
      </c>
      <c r="F86" s="52">
        <v>0</v>
      </c>
      <c r="G86" s="95">
        <v>320</v>
      </c>
      <c r="H86" s="31">
        <v>146.71622626319265</v>
      </c>
      <c r="I86" s="17">
        <f>'CDM Activity'!F114</f>
        <v>99732.779269246021</v>
      </c>
      <c r="J86" s="94">
        <v>31</v>
      </c>
      <c r="K86" s="17">
        <v>2772</v>
      </c>
      <c r="L86" s="10">
        <f t="shared" si="8"/>
        <v>10049154.03323615</v>
      </c>
      <c r="M86" s="94">
        <f t="shared" si="6"/>
        <v>1424868.0332361497</v>
      </c>
      <c r="N86" s="169">
        <f t="shared" si="7"/>
        <v>0.1652157678022447</v>
      </c>
    </row>
    <row r="87" spans="1:14" x14ac:dyDescent="0.25">
      <c r="A87" s="3">
        <v>41640</v>
      </c>
      <c r="B87" s="25">
        <v>15518995</v>
      </c>
      <c r="C87" s="65">
        <f t="shared" si="9"/>
        <v>1113.0699999999997</v>
      </c>
      <c r="D87" s="17">
        <v>0</v>
      </c>
      <c r="E87" s="83">
        <f>'Pulp Mill'!G165</f>
        <v>0.5</v>
      </c>
      <c r="F87" s="52">
        <v>0</v>
      </c>
      <c r="G87" s="95">
        <v>352</v>
      </c>
      <c r="H87" s="31">
        <v>147.04232175221028</v>
      </c>
      <c r="I87" s="17">
        <f>'CDM Activity'!F115</f>
        <v>99721.95663414216</v>
      </c>
      <c r="J87" s="94">
        <v>31</v>
      </c>
      <c r="K87" s="17">
        <v>2776</v>
      </c>
      <c r="L87" s="10">
        <f t="shared" si="8"/>
        <v>10866512.698835094</v>
      </c>
      <c r="M87" s="94">
        <f t="shared" si="6"/>
        <v>-4652482.3011649065</v>
      </c>
      <c r="N87" s="169">
        <f t="shared" si="7"/>
        <v>0.29979275727358029</v>
      </c>
    </row>
    <row r="88" spans="1:14" x14ac:dyDescent="0.25">
      <c r="A88" s="3">
        <v>41671</v>
      </c>
      <c r="B88" s="25">
        <v>10275485.09</v>
      </c>
      <c r="C88" s="65">
        <f t="shared" si="9"/>
        <v>953.58894736842126</v>
      </c>
      <c r="D88" s="17">
        <v>0</v>
      </c>
      <c r="E88" s="83">
        <f>'Pulp Mill'!G166</f>
        <v>0.5</v>
      </c>
      <c r="F88" s="52">
        <v>0</v>
      </c>
      <c r="G88" s="95">
        <v>304</v>
      </c>
      <c r="H88" s="31">
        <v>147.36914202996238</v>
      </c>
      <c r="I88" s="17">
        <f>'CDM Activity'!F116</f>
        <v>99711.133999038298</v>
      </c>
      <c r="J88" s="94">
        <v>28</v>
      </c>
      <c r="K88" s="17">
        <v>2767</v>
      </c>
      <c r="L88" s="10">
        <f t="shared" si="8"/>
        <v>9989421.9952470027</v>
      </c>
      <c r="M88" s="94">
        <f t="shared" si="6"/>
        <v>-286063.09475299716</v>
      </c>
      <c r="N88" s="169">
        <f t="shared" si="7"/>
        <v>2.7839376170317343E-2</v>
      </c>
    </row>
    <row r="89" spans="1:14" x14ac:dyDescent="0.25">
      <c r="A89" s="3">
        <v>41699</v>
      </c>
      <c r="B89" s="25">
        <v>7866055.9800000004</v>
      </c>
      <c r="C89" s="65">
        <f t="shared" si="9"/>
        <v>750.64210526315799</v>
      </c>
      <c r="D89" s="17">
        <v>1</v>
      </c>
      <c r="E89" s="83">
        <f>'Pulp Mill'!G167</f>
        <v>0.5</v>
      </c>
      <c r="F89" s="52">
        <v>0</v>
      </c>
      <c r="G89" s="95">
        <v>336</v>
      </c>
      <c r="H89" s="31">
        <v>147.69668870738414</v>
      </c>
      <c r="I89" s="17">
        <f>'CDM Activity'!F117</f>
        <v>99700.311363934437</v>
      </c>
      <c r="J89" s="94">
        <v>31</v>
      </c>
      <c r="K89" s="17">
        <v>2772</v>
      </c>
      <c r="L89" s="10">
        <f t="shared" si="8"/>
        <v>8301415.9893174274</v>
      </c>
      <c r="M89" s="94">
        <f t="shared" si="6"/>
        <v>435360.00931742694</v>
      </c>
      <c r="N89" s="169">
        <f t="shared" si="7"/>
        <v>5.5346670609052406E-2</v>
      </c>
    </row>
    <row r="90" spans="1:14" x14ac:dyDescent="0.25">
      <c r="A90" s="3">
        <v>41730</v>
      </c>
      <c r="B90" s="25">
        <v>6939479.6900000004</v>
      </c>
      <c r="C90" s="65">
        <f t="shared" si="9"/>
        <v>492.2847368421053</v>
      </c>
      <c r="D90" s="17">
        <v>1</v>
      </c>
      <c r="E90" s="83">
        <f>'Pulp Mill'!G168</f>
        <v>0.5</v>
      </c>
      <c r="F90" s="52">
        <v>0</v>
      </c>
      <c r="G90" s="95">
        <v>320</v>
      </c>
      <c r="H90" s="31">
        <v>148.02496339899133</v>
      </c>
      <c r="I90" s="17">
        <f>'CDM Activity'!F118</f>
        <v>99689.488728830576</v>
      </c>
      <c r="J90" s="94">
        <v>30</v>
      </c>
      <c r="K90" s="17">
        <v>2762</v>
      </c>
      <c r="L90" s="10">
        <f t="shared" si="8"/>
        <v>6880539.7014672952</v>
      </c>
      <c r="M90" s="94">
        <f t="shared" si="6"/>
        <v>-58939.988532705233</v>
      </c>
      <c r="N90" s="169">
        <f t="shared" si="7"/>
        <v>8.4934305114603235E-3</v>
      </c>
    </row>
    <row r="91" spans="1:14" x14ac:dyDescent="0.25">
      <c r="A91" s="3">
        <v>41760</v>
      </c>
      <c r="B91" s="25">
        <v>5836326.1299999999</v>
      </c>
      <c r="C91" s="65">
        <f t="shared" si="9"/>
        <v>260.26000000000005</v>
      </c>
      <c r="D91" s="17">
        <v>1</v>
      </c>
      <c r="E91" s="83">
        <f>'Pulp Mill'!G169</f>
        <v>0.5</v>
      </c>
      <c r="F91" s="52">
        <v>12.700000000000001</v>
      </c>
      <c r="G91" s="95">
        <v>336</v>
      </c>
      <c r="H91" s="31">
        <v>148.35396772288814</v>
      </c>
      <c r="I91" s="17">
        <f>'CDM Activity'!F119</f>
        <v>99678.666093726715</v>
      </c>
      <c r="J91" s="94">
        <v>31</v>
      </c>
      <c r="K91" s="17">
        <v>2760</v>
      </c>
      <c r="L91" s="10">
        <f t="shared" si="8"/>
        <v>5604483.7918238463</v>
      </c>
      <c r="M91" s="94">
        <f t="shared" si="6"/>
        <v>-231842.3381761536</v>
      </c>
      <c r="N91" s="169">
        <f t="shared" si="7"/>
        <v>3.9724020387488797E-2</v>
      </c>
    </row>
    <row r="92" spans="1:14" x14ac:dyDescent="0.25">
      <c r="A92" s="3">
        <v>41791</v>
      </c>
      <c r="B92" s="25">
        <v>4899692.66</v>
      </c>
      <c r="C92" s="65">
        <f t="shared" si="9"/>
        <v>89.673684210526318</v>
      </c>
      <c r="D92" s="17">
        <v>0</v>
      </c>
      <c r="E92" s="83">
        <f>'Pulp Mill'!G170</f>
        <v>0.5</v>
      </c>
      <c r="F92" s="52">
        <v>14.5</v>
      </c>
      <c r="G92" s="95">
        <v>336</v>
      </c>
      <c r="H92" s="31">
        <v>148.68370330077519</v>
      </c>
      <c r="I92" s="17">
        <f>'CDM Activity'!F120</f>
        <v>99667.843458622854</v>
      </c>
      <c r="J92" s="94">
        <v>30</v>
      </c>
      <c r="K92" s="17">
        <v>2774</v>
      </c>
      <c r="L92" s="10">
        <f t="shared" si="8"/>
        <v>5238186.4503317932</v>
      </c>
      <c r="M92" s="94">
        <f t="shared" si="6"/>
        <v>338493.79033179302</v>
      </c>
      <c r="N92" s="169">
        <f t="shared" si="7"/>
        <v>6.9084698535314459E-2</v>
      </c>
    </row>
    <row r="93" spans="1:14" x14ac:dyDescent="0.25">
      <c r="A93" s="3">
        <v>41821</v>
      </c>
      <c r="B93" s="25">
        <v>5148464.1399999997</v>
      </c>
      <c r="C93" s="65">
        <f t="shared" si="9"/>
        <v>35.763684210526314</v>
      </c>
      <c r="D93" s="17">
        <v>0</v>
      </c>
      <c r="E93" s="83">
        <f>'Pulp Mill'!G171</f>
        <v>0.5</v>
      </c>
      <c r="F93" s="52">
        <v>15.9</v>
      </c>
      <c r="G93" s="95">
        <v>352</v>
      </c>
      <c r="H93" s="31">
        <v>149.0141717579576</v>
      </c>
      <c r="I93" s="17">
        <f>'CDM Activity'!F121</f>
        <v>99657.020823518993</v>
      </c>
      <c r="J93" s="94">
        <v>31</v>
      </c>
      <c r="K93" s="17">
        <v>2780</v>
      </c>
      <c r="L93" s="10">
        <f t="shared" si="8"/>
        <v>4941700.071227775</v>
      </c>
      <c r="M93" s="94">
        <f t="shared" si="6"/>
        <v>-206764.06877222471</v>
      </c>
      <c r="N93" s="169">
        <f t="shared" si="7"/>
        <v>4.0160339695446481E-2</v>
      </c>
    </row>
    <row r="94" spans="1:14" x14ac:dyDescent="0.25">
      <c r="A94" s="3">
        <v>41852</v>
      </c>
      <c r="B94" s="25">
        <v>4841846.5599999996</v>
      </c>
      <c r="C94" s="65">
        <f t="shared" si="9"/>
        <v>49.53368421052631</v>
      </c>
      <c r="D94" s="17">
        <v>0</v>
      </c>
      <c r="E94" s="83">
        <f>'Pulp Mill'!G172</f>
        <v>0.5</v>
      </c>
      <c r="F94" s="52">
        <v>14</v>
      </c>
      <c r="G94" s="95">
        <v>320</v>
      </c>
      <c r="H94" s="31">
        <v>149.34537472335285</v>
      </c>
      <c r="I94" s="17">
        <f>'CDM Activity'!F122</f>
        <v>99646.198188415132</v>
      </c>
      <c r="J94" s="94">
        <v>31</v>
      </c>
      <c r="K94" s="17">
        <v>2799</v>
      </c>
      <c r="L94" s="10">
        <f t="shared" si="8"/>
        <v>5017430.314972207</v>
      </c>
      <c r="M94" s="94">
        <f t="shared" si="6"/>
        <v>175583.75497220736</v>
      </c>
      <c r="N94" s="169">
        <f t="shared" si="7"/>
        <v>3.6263799935908621E-2</v>
      </c>
    </row>
    <row r="95" spans="1:14" x14ac:dyDescent="0.25">
      <c r="A95" s="3">
        <v>41883</v>
      </c>
      <c r="B95" s="25">
        <v>3291504.51</v>
      </c>
      <c r="C95" s="65">
        <f t="shared" si="9"/>
        <v>162.29315789473685</v>
      </c>
      <c r="D95" s="17">
        <v>1</v>
      </c>
      <c r="E95" s="83">
        <f>'Pulp Mill'!G173</f>
        <v>0.5</v>
      </c>
      <c r="F95" s="52">
        <v>3.1</v>
      </c>
      <c r="G95" s="95">
        <v>336</v>
      </c>
      <c r="H95" s="31">
        <v>149.67731382949896</v>
      </c>
      <c r="I95" s="17">
        <f>'CDM Activity'!F123</f>
        <v>99635.375553311271</v>
      </c>
      <c r="J95" s="94">
        <v>30</v>
      </c>
      <c r="K95" s="17">
        <v>2803</v>
      </c>
      <c r="L95" s="10">
        <f t="shared" si="8"/>
        <v>5065699.9986863108</v>
      </c>
      <c r="M95" s="94">
        <f t="shared" si="6"/>
        <v>1774195.4886863111</v>
      </c>
      <c r="N95" s="169">
        <f t="shared" si="7"/>
        <v>0.53902265158564566</v>
      </c>
    </row>
    <row r="96" spans="1:14" x14ac:dyDescent="0.25">
      <c r="A96" s="3">
        <v>41913</v>
      </c>
      <c r="B96" s="25">
        <v>6403698.4299999997</v>
      </c>
      <c r="C96" s="65">
        <f t="shared" si="9"/>
        <v>383.93315789473684</v>
      </c>
      <c r="D96" s="17">
        <v>1</v>
      </c>
      <c r="E96" s="83">
        <f>'Pulp Mill'!G174</f>
        <v>0.5</v>
      </c>
      <c r="F96" s="52">
        <v>0</v>
      </c>
      <c r="G96" s="95">
        <v>352</v>
      </c>
      <c r="H96" s="31">
        <v>150.00999071256246</v>
      </c>
      <c r="I96" s="17">
        <f>'CDM Activity'!F124</f>
        <v>99624.55291820741</v>
      </c>
      <c r="J96" s="94">
        <v>31</v>
      </c>
      <c r="K96" s="17">
        <v>2785</v>
      </c>
      <c r="L96" s="10">
        <f t="shared" si="8"/>
        <v>6284643.4426598689</v>
      </c>
      <c r="M96" s="94">
        <f t="shared" si="6"/>
        <v>-119054.98734013084</v>
      </c>
      <c r="N96" s="169">
        <f t="shared" si="7"/>
        <v>1.8591598065015508E-2</v>
      </c>
    </row>
    <row r="97" spans="1:14" x14ac:dyDescent="0.25">
      <c r="A97" s="3">
        <v>41944</v>
      </c>
      <c r="B97" s="25">
        <v>8682529.4000000004</v>
      </c>
      <c r="C97" s="65">
        <f t="shared" si="9"/>
        <v>633.81999999999994</v>
      </c>
      <c r="D97" s="17">
        <v>1</v>
      </c>
      <c r="E97" s="83">
        <f>'Pulp Mill'!G175</f>
        <v>0.5</v>
      </c>
      <c r="F97" s="52">
        <v>0</v>
      </c>
      <c r="G97" s="95">
        <v>304</v>
      </c>
      <c r="H97" s="31">
        <v>150.34340701234646</v>
      </c>
      <c r="I97" s="17">
        <f>'CDM Activity'!F125</f>
        <v>99613.730283103549</v>
      </c>
      <c r="J97" s="94">
        <v>30</v>
      </c>
      <c r="K97" s="17">
        <v>2798</v>
      </c>
      <c r="L97" s="10">
        <f t="shared" si="8"/>
        <v>7658934.7615529662</v>
      </c>
      <c r="M97" s="94">
        <f t="shared" si="6"/>
        <v>-1023594.6384470342</v>
      </c>
      <c r="N97" s="169">
        <f t="shared" si="7"/>
        <v>0.1178912954152547</v>
      </c>
    </row>
    <row r="98" spans="1:14" x14ac:dyDescent="0.25">
      <c r="A98" s="3">
        <v>41974</v>
      </c>
      <c r="B98" s="25">
        <v>9815239</v>
      </c>
      <c r="C98" s="65">
        <f t="shared" si="9"/>
        <v>964.45</v>
      </c>
      <c r="D98" s="17">
        <v>0</v>
      </c>
      <c r="E98" s="83">
        <f>'Pulp Mill'!G176</f>
        <v>0.5</v>
      </c>
      <c r="F98" s="52">
        <v>0</v>
      </c>
      <c r="G98" s="95">
        <v>336</v>
      </c>
      <c r="H98" s="31">
        <v>150.67756437229883</v>
      </c>
      <c r="I98" s="17">
        <f>'CDM Activity'!F126</f>
        <v>99602.907647999687</v>
      </c>
      <c r="J98" s="94">
        <v>31</v>
      </c>
      <c r="K98" s="17">
        <v>2784</v>
      </c>
      <c r="L98" s="10">
        <f t="shared" si="8"/>
        <v>10049154.03323615</v>
      </c>
      <c r="M98" s="94">
        <f t="shared" si="6"/>
        <v>233915.0332361497</v>
      </c>
      <c r="N98" s="169">
        <f t="shared" si="7"/>
        <v>2.3831822458541225E-2</v>
      </c>
    </row>
    <row r="99" spans="1:14" x14ac:dyDescent="0.25">
      <c r="A99" s="3">
        <v>42005</v>
      </c>
      <c r="B99" s="25">
        <v>11204378.85</v>
      </c>
      <c r="C99" s="65">
        <f t="shared" si="9"/>
        <v>1113.0699999999997</v>
      </c>
      <c r="D99" s="17">
        <v>0</v>
      </c>
      <c r="E99" s="83">
        <f>'Pulp Mill'!G177</f>
        <v>0.5</v>
      </c>
      <c r="F99" s="52">
        <v>0</v>
      </c>
      <c r="G99" s="95">
        <v>336</v>
      </c>
      <c r="H99" s="31">
        <v>150.98793548444445</v>
      </c>
      <c r="I99" s="17">
        <f>'CDM Activity'!F127</f>
        <v>101347.87847495129</v>
      </c>
      <c r="J99" s="94">
        <v>31</v>
      </c>
      <c r="K99" s="17">
        <v>2768</v>
      </c>
      <c r="L99" s="10">
        <f t="shared" si="8"/>
        <v>10866512.698835094</v>
      </c>
      <c r="M99" s="94">
        <f t="shared" ref="M99:M130" si="10">L99-B99</f>
        <v>-337866.1511649061</v>
      </c>
      <c r="N99" s="169">
        <f t="shared" ref="N99:N130" si="11">ABS(M99/B99)</f>
        <v>3.0154831043124369E-2</v>
      </c>
    </row>
    <row r="100" spans="1:14" x14ac:dyDescent="0.25">
      <c r="A100" s="3">
        <v>42036</v>
      </c>
      <c r="B100" s="25">
        <v>10720306.83</v>
      </c>
      <c r="C100" s="65">
        <f t="shared" si="9"/>
        <v>953.58894736842126</v>
      </c>
      <c r="D100" s="17">
        <v>0</v>
      </c>
      <c r="E100" s="83">
        <f>'Pulp Mill'!G178</f>
        <v>0.5</v>
      </c>
      <c r="F100" s="52">
        <v>0</v>
      </c>
      <c r="G100" s="95">
        <v>304</v>
      </c>
      <c r="H100" s="31">
        <v>151.298945910264</v>
      </c>
      <c r="I100" s="17">
        <f>'CDM Activity'!F128</f>
        <v>103092.84930190288</v>
      </c>
      <c r="J100" s="94">
        <v>28</v>
      </c>
      <c r="K100" s="17">
        <v>2768</v>
      </c>
      <c r="L100" s="10">
        <f t="shared" si="8"/>
        <v>9989421.9952470027</v>
      </c>
      <c r="M100" s="94">
        <f t="shared" si="10"/>
        <v>-730884.83475299738</v>
      </c>
      <c r="N100" s="169">
        <f t="shared" si="11"/>
        <v>6.817760408756858E-2</v>
      </c>
    </row>
    <row r="101" spans="1:14" x14ac:dyDescent="0.25">
      <c r="A101" s="3">
        <v>42064</v>
      </c>
      <c r="B101" s="25">
        <v>9119176.0700000003</v>
      </c>
      <c r="C101" s="65">
        <f t="shared" si="9"/>
        <v>750.64210526315799</v>
      </c>
      <c r="D101" s="17">
        <v>1</v>
      </c>
      <c r="E101" s="83">
        <f>'Pulp Mill'!G179</f>
        <v>0.5</v>
      </c>
      <c r="F101" s="52">
        <v>0</v>
      </c>
      <c r="G101" s="95">
        <v>352</v>
      </c>
      <c r="H101" s="31">
        <v>151.61059696663892</v>
      </c>
      <c r="I101" s="17">
        <f>'CDM Activity'!F129</f>
        <v>104837.82012885448</v>
      </c>
      <c r="J101" s="94">
        <v>31</v>
      </c>
      <c r="K101" s="17">
        <v>2773</v>
      </c>
      <c r="L101" s="10">
        <f t="shared" si="8"/>
        <v>8301415.9893174274</v>
      </c>
      <c r="M101" s="94">
        <f t="shared" si="10"/>
        <v>-817760.08068257291</v>
      </c>
      <c r="N101" s="169">
        <f t="shared" si="11"/>
        <v>8.9674777019912597E-2</v>
      </c>
    </row>
    <row r="102" spans="1:14" x14ac:dyDescent="0.25">
      <c r="A102" s="3">
        <v>42095</v>
      </c>
      <c r="B102" s="25">
        <v>6764577.5199999996</v>
      </c>
      <c r="C102" s="65">
        <f t="shared" si="9"/>
        <v>492.2847368421053</v>
      </c>
      <c r="D102" s="17">
        <v>1</v>
      </c>
      <c r="E102" s="83">
        <f>'Pulp Mill'!G180</f>
        <v>0.5</v>
      </c>
      <c r="F102" s="52">
        <v>0</v>
      </c>
      <c r="G102" s="95">
        <v>336</v>
      </c>
      <c r="H102" s="31">
        <v>151.92288997316331</v>
      </c>
      <c r="I102" s="17">
        <f>'CDM Activity'!F130</f>
        <v>106582.79095580608</v>
      </c>
      <c r="J102" s="94">
        <v>30</v>
      </c>
      <c r="K102" s="17">
        <v>2772</v>
      </c>
      <c r="L102" s="10">
        <f t="shared" si="8"/>
        <v>6880539.7014672952</v>
      </c>
      <c r="M102" s="94">
        <f t="shared" si="10"/>
        <v>115962.18146729562</v>
      </c>
      <c r="N102" s="169">
        <f t="shared" si="11"/>
        <v>1.7142560806561003E-2</v>
      </c>
    </row>
    <row r="103" spans="1:14" x14ac:dyDescent="0.25">
      <c r="A103" s="3">
        <v>42125</v>
      </c>
      <c r="B103" s="25">
        <v>5592618.9400000004</v>
      </c>
      <c r="C103" s="65">
        <f t="shared" si="9"/>
        <v>260.26000000000005</v>
      </c>
      <c r="D103" s="17">
        <v>1</v>
      </c>
      <c r="E103" s="83">
        <f>'Pulp Mill'!G181</f>
        <v>0.5</v>
      </c>
      <c r="F103" s="52">
        <v>0.5</v>
      </c>
      <c r="G103" s="95">
        <v>320</v>
      </c>
      <c r="H103" s="31">
        <v>152.23582625214937</v>
      </c>
      <c r="I103" s="17">
        <f>'CDM Activity'!F131</f>
        <v>108327.76178275768</v>
      </c>
      <c r="J103" s="94">
        <v>31</v>
      </c>
      <c r="K103" s="17">
        <v>2779</v>
      </c>
      <c r="L103" s="10">
        <f t="shared" si="8"/>
        <v>5604483.7918238463</v>
      </c>
      <c r="M103" s="94">
        <f t="shared" si="10"/>
        <v>11864.851823845878</v>
      </c>
      <c r="N103" s="169">
        <f t="shared" si="11"/>
        <v>2.1215198015700812E-3</v>
      </c>
    </row>
    <row r="104" spans="1:14" x14ac:dyDescent="0.25">
      <c r="A104" s="3">
        <v>42156</v>
      </c>
      <c r="B104" s="25">
        <v>4972284.78</v>
      </c>
      <c r="C104" s="65">
        <f t="shared" si="9"/>
        <v>89.673684210526318</v>
      </c>
      <c r="D104" s="17">
        <v>0</v>
      </c>
      <c r="E104" s="83">
        <f>'Pulp Mill'!G182</f>
        <v>0.5</v>
      </c>
      <c r="F104" s="52">
        <v>3.9</v>
      </c>
      <c r="G104" s="95">
        <v>352</v>
      </c>
      <c r="H104" s="31">
        <v>152.54940712863302</v>
      </c>
      <c r="I104" s="17">
        <f>'CDM Activity'!F132</f>
        <v>110072.73260970927</v>
      </c>
      <c r="J104" s="94">
        <v>30</v>
      </c>
      <c r="K104" s="17">
        <v>2760</v>
      </c>
      <c r="L104" s="10">
        <f t="shared" si="8"/>
        <v>5238186.4503317932</v>
      </c>
      <c r="M104" s="94">
        <f t="shared" si="10"/>
        <v>265901.67033179291</v>
      </c>
      <c r="N104" s="169">
        <f t="shared" si="11"/>
        <v>5.3476758089425619E-2</v>
      </c>
    </row>
    <row r="105" spans="1:14" x14ac:dyDescent="0.25">
      <c r="A105" s="3">
        <v>42186</v>
      </c>
      <c r="B105" s="25">
        <v>5031915.9400000004</v>
      </c>
      <c r="C105" s="65">
        <f t="shared" si="9"/>
        <v>35.763684210526314</v>
      </c>
      <c r="D105" s="17">
        <v>0</v>
      </c>
      <c r="E105" s="83">
        <f>'Pulp Mill'!G183</f>
        <v>0.5</v>
      </c>
      <c r="F105" s="52">
        <v>48.599999999999994</v>
      </c>
      <c r="G105" s="95">
        <v>352</v>
      </c>
      <c r="H105" s="31">
        <v>152.86363393037959</v>
      </c>
      <c r="I105" s="17">
        <f>'CDM Activity'!F133</f>
        <v>111817.70343666087</v>
      </c>
      <c r="J105" s="94">
        <v>31</v>
      </c>
      <c r="K105" s="17">
        <v>2788</v>
      </c>
      <c r="L105" s="10">
        <f t="shared" si="8"/>
        <v>4941700.071227775</v>
      </c>
      <c r="M105" s="94">
        <f t="shared" si="10"/>
        <v>-90215.868772225454</v>
      </c>
      <c r="N105" s="169">
        <f t="shared" si="11"/>
        <v>1.7928731292006728E-2</v>
      </c>
    </row>
    <row r="106" spans="1:14" x14ac:dyDescent="0.25">
      <c r="A106" s="3">
        <v>42217</v>
      </c>
      <c r="B106" s="25">
        <v>4982970.57</v>
      </c>
      <c r="C106" s="65">
        <f t="shared" si="9"/>
        <v>49.53368421052631</v>
      </c>
      <c r="D106" s="17">
        <v>0</v>
      </c>
      <c r="E106" s="83">
        <f>'Pulp Mill'!G184</f>
        <v>0.5</v>
      </c>
      <c r="F106" s="52">
        <v>38.6</v>
      </c>
      <c r="G106" s="95">
        <v>320</v>
      </c>
      <c r="H106" s="31">
        <v>153.17850798788936</v>
      </c>
      <c r="I106" s="17">
        <f>'CDM Activity'!F134</f>
        <v>113562.67426361247</v>
      </c>
      <c r="J106" s="94">
        <v>31</v>
      </c>
      <c r="K106" s="17">
        <v>2788</v>
      </c>
      <c r="L106" s="10">
        <f t="shared" si="8"/>
        <v>5017430.314972207</v>
      </c>
      <c r="M106" s="94">
        <f t="shared" si="10"/>
        <v>34459.744972206652</v>
      </c>
      <c r="N106" s="169">
        <f t="shared" si="11"/>
        <v>6.9155024072732286E-3</v>
      </c>
    </row>
    <row r="107" spans="1:14" x14ac:dyDescent="0.25">
      <c r="A107" s="3">
        <v>42248</v>
      </c>
      <c r="B107" s="25">
        <v>4618381.05</v>
      </c>
      <c r="C107" s="65">
        <f t="shared" si="9"/>
        <v>162.29315789473685</v>
      </c>
      <c r="D107" s="17">
        <v>1</v>
      </c>
      <c r="E107" s="83">
        <f>'Pulp Mill'!G185</f>
        <v>0</v>
      </c>
      <c r="F107" s="52">
        <v>22.6</v>
      </c>
      <c r="G107" s="95">
        <v>336</v>
      </c>
      <c r="H107" s="31">
        <v>153.4940306344032</v>
      </c>
      <c r="I107" s="17">
        <f>'CDM Activity'!F135</f>
        <v>115307.64509056407</v>
      </c>
      <c r="J107" s="94">
        <v>30</v>
      </c>
      <c r="K107" s="17">
        <v>2783</v>
      </c>
      <c r="L107" s="10">
        <f t="shared" si="8"/>
        <v>4299488.0175901521</v>
      </c>
      <c r="M107" s="94">
        <f t="shared" si="10"/>
        <v>-318893.03240984771</v>
      </c>
      <c r="N107" s="169">
        <f t="shared" si="11"/>
        <v>6.9048662065216065E-2</v>
      </c>
    </row>
    <row r="108" spans="1:14" x14ac:dyDescent="0.25">
      <c r="A108" s="3">
        <v>42278</v>
      </c>
      <c r="B108" s="25">
        <v>5491161.46</v>
      </c>
      <c r="C108" s="65">
        <f t="shared" si="9"/>
        <v>383.93315789473684</v>
      </c>
      <c r="D108" s="17">
        <v>1</v>
      </c>
      <c r="E108" s="83">
        <f>'Pulp Mill'!G186</f>
        <v>0</v>
      </c>
      <c r="F108" s="52">
        <v>0</v>
      </c>
      <c r="G108" s="95">
        <v>336</v>
      </c>
      <c r="H108" s="31">
        <v>153.81020320590829</v>
      </c>
      <c r="I108" s="17">
        <f>'CDM Activity'!F136</f>
        <v>117052.61591751566</v>
      </c>
      <c r="J108" s="94">
        <v>31</v>
      </c>
      <c r="K108" s="17">
        <v>2791</v>
      </c>
      <c r="L108" s="10">
        <f t="shared" si="8"/>
        <v>5518431.4615637101</v>
      </c>
      <c r="M108" s="94">
        <f t="shared" si="10"/>
        <v>27270.001563710161</v>
      </c>
      <c r="N108" s="169">
        <f t="shared" si="11"/>
        <v>4.9661627621691096E-3</v>
      </c>
    </row>
    <row r="109" spans="1:14" x14ac:dyDescent="0.25">
      <c r="A109" s="3">
        <v>42309</v>
      </c>
      <c r="B109" s="25">
        <v>6542402.0499999998</v>
      </c>
      <c r="C109" s="65">
        <f t="shared" si="9"/>
        <v>633.81999999999994</v>
      </c>
      <c r="D109" s="17">
        <v>1</v>
      </c>
      <c r="E109" s="83">
        <f>'Pulp Mill'!G187</f>
        <v>0</v>
      </c>
      <c r="F109" s="52">
        <v>0</v>
      </c>
      <c r="G109" s="95">
        <v>320</v>
      </c>
      <c r="H109" s="31">
        <v>154.12702704114372</v>
      </c>
      <c r="I109" s="17">
        <f>'CDM Activity'!F137</f>
        <v>118797.58674446726</v>
      </c>
      <c r="J109" s="94">
        <v>30</v>
      </c>
      <c r="K109" s="17">
        <v>2790</v>
      </c>
      <c r="L109" s="10">
        <f t="shared" si="8"/>
        <v>6892722.7804568075</v>
      </c>
      <c r="M109" s="94">
        <f t="shared" si="10"/>
        <v>350320.73045680765</v>
      </c>
      <c r="N109" s="169">
        <f t="shared" si="11"/>
        <v>5.3546194162250801E-2</v>
      </c>
    </row>
    <row r="110" spans="1:14" x14ac:dyDescent="0.25">
      <c r="A110" s="3">
        <v>42339</v>
      </c>
      <c r="B110" s="25">
        <v>8353276.4900000002</v>
      </c>
      <c r="C110" s="65">
        <f t="shared" si="9"/>
        <v>964.45</v>
      </c>
      <c r="D110" s="17">
        <v>0</v>
      </c>
      <c r="E110" s="83">
        <f>'Pulp Mill'!G188</f>
        <v>0</v>
      </c>
      <c r="F110" s="52">
        <v>0</v>
      </c>
      <c r="G110" s="95">
        <v>352</v>
      </c>
      <c r="H110" s="31">
        <v>154.44450348160629</v>
      </c>
      <c r="I110" s="17">
        <f>'CDM Activity'!F138</f>
        <v>120542.55757141886</v>
      </c>
      <c r="J110" s="94">
        <v>31</v>
      </c>
      <c r="K110" s="17">
        <v>2785</v>
      </c>
      <c r="L110" s="10">
        <f t="shared" si="8"/>
        <v>9282942.05213999</v>
      </c>
      <c r="M110" s="94">
        <f t="shared" si="10"/>
        <v>929665.56213998981</v>
      </c>
      <c r="N110" s="169">
        <f t="shared" si="11"/>
        <v>0.11129352215899055</v>
      </c>
    </row>
    <row r="111" spans="1:14" x14ac:dyDescent="0.25">
      <c r="A111" s="3">
        <v>42370</v>
      </c>
      <c r="B111" s="25">
        <v>9677935.6099999994</v>
      </c>
      <c r="C111" s="65">
        <f t="shared" si="9"/>
        <v>1113.0699999999997</v>
      </c>
      <c r="D111" s="17">
        <v>0</v>
      </c>
      <c r="E111" s="83">
        <f>'Pulp Mill'!G189</f>
        <v>0</v>
      </c>
      <c r="F111" s="52">
        <v>0</v>
      </c>
      <c r="G111" s="95">
        <v>320</v>
      </c>
      <c r="H111" s="31">
        <v>154.72483615659849</v>
      </c>
      <c r="I111" s="17">
        <f>'CDM Activity'!F139</f>
        <v>119457.30401089969</v>
      </c>
      <c r="J111" s="94">
        <v>31</v>
      </c>
      <c r="K111" s="17">
        <v>2785</v>
      </c>
      <c r="L111" s="10">
        <f t="shared" si="8"/>
        <v>10100300.717738934</v>
      </c>
      <c r="M111" s="94">
        <f t="shared" si="10"/>
        <v>422365.10773893446</v>
      </c>
      <c r="N111" s="169">
        <f t="shared" si="11"/>
        <v>4.3642066320684528E-2</v>
      </c>
    </row>
    <row r="112" spans="1:14" x14ac:dyDescent="0.25">
      <c r="A112" s="3">
        <v>42401</v>
      </c>
      <c r="B112" s="25">
        <v>8802882.8200000003</v>
      </c>
      <c r="C112" s="65">
        <f t="shared" si="9"/>
        <v>953.58894736842126</v>
      </c>
      <c r="D112" s="17">
        <v>0</v>
      </c>
      <c r="E112" s="83">
        <f>'Pulp Mill'!G190</f>
        <v>0</v>
      </c>
      <c r="F112" s="52">
        <v>0</v>
      </c>
      <c r="G112" s="95">
        <v>320</v>
      </c>
      <c r="H112" s="31">
        <v>155.00567766425806</v>
      </c>
      <c r="I112" s="17">
        <f>'CDM Activity'!F140</f>
        <v>118372.05045038053</v>
      </c>
      <c r="J112" s="94">
        <v>29</v>
      </c>
      <c r="K112" s="17">
        <v>2788</v>
      </c>
      <c r="L112" s="10">
        <f t="shared" si="8"/>
        <v>9223210.014150843</v>
      </c>
      <c r="M112" s="94">
        <f t="shared" si="10"/>
        <v>420327.19415084273</v>
      </c>
      <c r="N112" s="169">
        <f t="shared" si="11"/>
        <v>4.7748811695626177E-2</v>
      </c>
    </row>
    <row r="113" spans="1:14" x14ac:dyDescent="0.25">
      <c r="A113" s="3">
        <v>42430</v>
      </c>
      <c r="B113" s="25">
        <v>7355284.3600000003</v>
      </c>
      <c r="C113" s="65">
        <f t="shared" si="9"/>
        <v>750.64210526315799</v>
      </c>
      <c r="D113" s="17">
        <v>1</v>
      </c>
      <c r="E113" s="83">
        <f>'Pulp Mill'!G191</f>
        <v>0</v>
      </c>
      <c r="F113" s="52">
        <v>0</v>
      </c>
      <c r="G113" s="95">
        <v>352</v>
      </c>
      <c r="H113" s="31">
        <v>155.2870289281687</v>
      </c>
      <c r="I113" s="17">
        <f>'CDM Activity'!F141</f>
        <v>117286.79688986136</v>
      </c>
      <c r="J113" s="94">
        <v>31</v>
      </c>
      <c r="K113" s="17">
        <v>2786</v>
      </c>
      <c r="L113" s="10">
        <f t="shared" si="8"/>
        <v>7535204.0082212687</v>
      </c>
      <c r="M113" s="94">
        <f t="shared" si="10"/>
        <v>179919.64822126832</v>
      </c>
      <c r="N113" s="169">
        <f t="shared" si="11"/>
        <v>2.4461277010542161E-2</v>
      </c>
    </row>
    <row r="114" spans="1:14" x14ac:dyDescent="0.25">
      <c r="A114" s="3">
        <v>42461</v>
      </c>
      <c r="B114" s="25">
        <v>6240545.5499999998</v>
      </c>
      <c r="C114" s="65">
        <f t="shared" si="9"/>
        <v>492.2847368421053</v>
      </c>
      <c r="D114" s="17">
        <v>1</v>
      </c>
      <c r="E114" s="83">
        <f>'Pulp Mill'!G192</f>
        <v>0</v>
      </c>
      <c r="F114" s="52">
        <v>0</v>
      </c>
      <c r="G114" s="95">
        <v>336</v>
      </c>
      <c r="H114" s="31">
        <v>155.56889087359048</v>
      </c>
      <c r="I114" s="17">
        <f>'CDM Activity'!F142</f>
        <v>116201.5433293422</v>
      </c>
      <c r="J114" s="94">
        <v>30</v>
      </c>
      <c r="K114" s="17">
        <v>2793</v>
      </c>
      <c r="L114" s="10">
        <f t="shared" si="8"/>
        <v>6114327.7203711364</v>
      </c>
      <c r="M114" s="94">
        <f t="shared" si="10"/>
        <v>-126217.82962886337</v>
      </c>
      <c r="N114" s="169">
        <f t="shared" si="11"/>
        <v>2.0225448018541165E-2</v>
      </c>
    </row>
    <row r="115" spans="1:14" x14ac:dyDescent="0.25">
      <c r="A115" s="3">
        <v>42491</v>
      </c>
      <c r="B115" s="25">
        <v>4750687.05</v>
      </c>
      <c r="C115" s="65">
        <f t="shared" si="9"/>
        <v>260.26000000000005</v>
      </c>
      <c r="D115" s="17">
        <v>1</v>
      </c>
      <c r="E115" s="83">
        <f>'Pulp Mill'!G193</f>
        <v>0</v>
      </c>
      <c r="F115" s="52">
        <v>0.1</v>
      </c>
      <c r="G115" s="95">
        <v>336</v>
      </c>
      <c r="H115" s="31">
        <v>155.85126442746289</v>
      </c>
      <c r="I115" s="17">
        <f>'CDM Activity'!F143</f>
        <v>115116.28976882303</v>
      </c>
      <c r="J115" s="94">
        <v>31</v>
      </c>
      <c r="K115" s="17">
        <v>2795</v>
      </c>
      <c r="L115" s="10">
        <f t="shared" si="8"/>
        <v>4838271.8107276876</v>
      </c>
      <c r="M115" s="94">
        <f t="shared" si="10"/>
        <v>87584.760727687739</v>
      </c>
      <c r="N115" s="169">
        <f t="shared" si="11"/>
        <v>1.843623034013317E-2</v>
      </c>
    </row>
    <row r="116" spans="1:14" x14ac:dyDescent="0.25">
      <c r="A116" s="3">
        <v>42522</v>
      </c>
      <c r="B116" s="25">
        <v>4414902.5199999996</v>
      </c>
      <c r="C116" s="65">
        <f t="shared" si="9"/>
        <v>89.673684210526318</v>
      </c>
      <c r="D116" s="17">
        <v>0</v>
      </c>
      <c r="E116" s="83">
        <f>'Pulp Mill'!G194</f>
        <v>0</v>
      </c>
      <c r="F116" s="52">
        <v>5</v>
      </c>
      <c r="G116" s="95">
        <v>352</v>
      </c>
      <c r="H116" s="31">
        <v>156.13415051840798</v>
      </c>
      <c r="I116" s="17">
        <f>'CDM Activity'!F144</f>
        <v>114031.03620830386</v>
      </c>
      <c r="J116" s="94">
        <v>30</v>
      </c>
      <c r="K116" s="17">
        <v>2794</v>
      </c>
      <c r="L116" s="10">
        <f t="shared" si="8"/>
        <v>4471974.4692356344</v>
      </c>
      <c r="M116" s="94">
        <f t="shared" si="10"/>
        <v>57071.949235634878</v>
      </c>
      <c r="N116" s="169">
        <f t="shared" si="11"/>
        <v>1.2927114240256178E-2</v>
      </c>
    </row>
    <row r="117" spans="1:14" x14ac:dyDescent="0.25">
      <c r="A117" s="3">
        <v>42552</v>
      </c>
      <c r="B117" s="25">
        <v>4431809.74</v>
      </c>
      <c r="C117" s="65">
        <f t="shared" si="9"/>
        <v>35.763684210526314</v>
      </c>
      <c r="D117" s="17">
        <v>0</v>
      </c>
      <c r="E117" s="83">
        <f>'Pulp Mill'!G195</f>
        <v>0</v>
      </c>
      <c r="F117" s="52">
        <v>36.4</v>
      </c>
      <c r="G117" s="95">
        <v>320</v>
      </c>
      <c r="H117" s="31">
        <v>156.41755007673331</v>
      </c>
      <c r="I117" s="17">
        <f>'CDM Activity'!F145</f>
        <v>112945.7826477847</v>
      </c>
      <c r="J117" s="94">
        <v>31</v>
      </c>
      <c r="K117" s="17">
        <v>2792</v>
      </c>
      <c r="L117" s="10">
        <f t="shared" si="8"/>
        <v>4175488.0901316162</v>
      </c>
      <c r="M117" s="94">
        <f t="shared" si="10"/>
        <v>-256321.649868384</v>
      </c>
      <c r="N117" s="169">
        <f t="shared" si="11"/>
        <v>5.7836790139006278E-2</v>
      </c>
    </row>
    <row r="118" spans="1:14" x14ac:dyDescent="0.25">
      <c r="A118" s="3">
        <v>42583</v>
      </c>
      <c r="B118" s="25">
        <v>4516193.84</v>
      </c>
      <c r="C118" s="65">
        <f t="shared" si="9"/>
        <v>49.53368421052631</v>
      </c>
      <c r="D118" s="17">
        <v>0</v>
      </c>
      <c r="E118" s="83">
        <f>'Pulp Mill'!G196</f>
        <v>0</v>
      </c>
      <c r="F118" s="52">
        <v>28.3</v>
      </c>
      <c r="G118" s="95">
        <v>352</v>
      </c>
      <c r="H118" s="31">
        <v>156.70146403443502</v>
      </c>
      <c r="I118" s="17">
        <f>'CDM Activity'!F146</f>
        <v>111860.52908726553</v>
      </c>
      <c r="J118" s="94">
        <v>31</v>
      </c>
      <c r="K118" s="17">
        <v>2807</v>
      </c>
      <c r="L118" s="10">
        <f t="shared" si="8"/>
        <v>4251218.3338760482</v>
      </c>
      <c r="M118" s="94">
        <f t="shared" si="10"/>
        <v>-264975.50612395164</v>
      </c>
      <c r="N118" s="169">
        <f t="shared" si="11"/>
        <v>5.8672305820237254E-2</v>
      </c>
    </row>
    <row r="119" spans="1:14" x14ac:dyDescent="0.25">
      <c r="A119" s="3">
        <v>42614</v>
      </c>
      <c r="B119" s="25">
        <v>4301703.93</v>
      </c>
      <c r="C119" s="65">
        <f t="shared" si="9"/>
        <v>162.29315789473685</v>
      </c>
      <c r="D119" s="17">
        <v>1</v>
      </c>
      <c r="E119" s="83">
        <f>'Pulp Mill'!G197</f>
        <v>0</v>
      </c>
      <c r="F119" s="52">
        <v>4.3000000000000007</v>
      </c>
      <c r="G119" s="95">
        <v>336</v>
      </c>
      <c r="H119" s="31">
        <v>156.98589332520095</v>
      </c>
      <c r="I119" s="17">
        <f>'CDM Activity'!F147</f>
        <v>110775.27552674637</v>
      </c>
      <c r="J119" s="94">
        <v>30</v>
      </c>
      <c r="K119" s="17">
        <v>2794</v>
      </c>
      <c r="L119" s="10">
        <f t="shared" si="8"/>
        <v>4299488.0175901521</v>
      </c>
      <c r="M119" s="94">
        <f t="shared" si="10"/>
        <v>-2215.9124098476022</v>
      </c>
      <c r="N119" s="169">
        <f t="shared" si="11"/>
        <v>5.1512434279678623E-4</v>
      </c>
    </row>
    <row r="120" spans="1:14" x14ac:dyDescent="0.25">
      <c r="A120" s="3">
        <v>42644</v>
      </c>
      <c r="B120" s="25">
        <v>5436230.0300000003</v>
      </c>
      <c r="C120" s="65">
        <f t="shared" si="9"/>
        <v>383.93315789473684</v>
      </c>
      <c r="D120" s="17">
        <v>1</v>
      </c>
      <c r="E120" s="83">
        <f>'Pulp Mill'!G198</f>
        <v>0</v>
      </c>
      <c r="F120" s="52">
        <v>0</v>
      </c>
      <c r="G120" s="95">
        <v>320</v>
      </c>
      <c r="H120" s="31">
        <v>157.27083888441365</v>
      </c>
      <c r="I120" s="17">
        <f>'CDM Activity'!F148</f>
        <v>109690.0219662272</v>
      </c>
      <c r="J120" s="94">
        <v>31</v>
      </c>
      <c r="K120" s="17">
        <v>2804</v>
      </c>
      <c r="L120" s="10">
        <f t="shared" si="8"/>
        <v>5518431.4615637101</v>
      </c>
      <c r="M120" s="94">
        <f t="shared" si="10"/>
        <v>82201.431563709863</v>
      </c>
      <c r="N120" s="169">
        <f t="shared" si="11"/>
        <v>1.5121036289869775E-2</v>
      </c>
    </row>
    <row r="121" spans="1:14" x14ac:dyDescent="0.25">
      <c r="A121" s="3">
        <v>42675</v>
      </c>
      <c r="B121" s="25">
        <v>6124824.1500000004</v>
      </c>
      <c r="C121" s="65">
        <f t="shared" si="9"/>
        <v>633.81999999999994</v>
      </c>
      <c r="D121" s="17">
        <v>1</v>
      </c>
      <c r="E121" s="83">
        <f>'Pulp Mill'!G199</f>
        <v>0</v>
      </c>
      <c r="F121" s="52">
        <v>0</v>
      </c>
      <c r="G121" s="95">
        <v>336</v>
      </c>
      <c r="H121" s="31">
        <v>157.55630164915351</v>
      </c>
      <c r="I121" s="17">
        <f>'CDM Activity'!F149</f>
        <v>108604.76840570803</v>
      </c>
      <c r="J121" s="94">
        <v>30</v>
      </c>
      <c r="K121" s="17">
        <v>2804</v>
      </c>
      <c r="L121" s="10">
        <f t="shared" si="8"/>
        <v>6892722.7804568075</v>
      </c>
      <c r="M121" s="94">
        <f t="shared" si="10"/>
        <v>767898.63045680709</v>
      </c>
      <c r="N121" s="169">
        <f t="shared" si="11"/>
        <v>0.12537480450876407</v>
      </c>
    </row>
    <row r="122" spans="1:14" x14ac:dyDescent="0.25">
      <c r="A122" s="3">
        <v>42705</v>
      </c>
      <c r="B122" s="25">
        <v>9393075.0099999998</v>
      </c>
      <c r="C122" s="65">
        <f t="shared" si="9"/>
        <v>964.45</v>
      </c>
      <c r="D122" s="17">
        <v>0</v>
      </c>
      <c r="E122" s="83">
        <f>'Pulp Mill'!G200</f>
        <v>0</v>
      </c>
      <c r="F122" s="52">
        <v>0</v>
      </c>
      <c r="G122" s="95">
        <v>336</v>
      </c>
      <c r="H122" s="31">
        <v>157.84228255820162</v>
      </c>
      <c r="I122" s="17">
        <f>'CDM Activity'!F150</f>
        <v>107519.51484518887</v>
      </c>
      <c r="J122" s="94">
        <v>31</v>
      </c>
      <c r="K122" s="17">
        <v>2797</v>
      </c>
      <c r="L122" s="10">
        <f t="shared" si="8"/>
        <v>9282942.05213999</v>
      </c>
      <c r="M122" s="94">
        <f t="shared" si="10"/>
        <v>-110132.95786000974</v>
      </c>
      <c r="N122" s="169">
        <f t="shared" si="11"/>
        <v>1.1724909866338834E-2</v>
      </c>
    </row>
    <row r="123" spans="1:14" x14ac:dyDescent="0.25">
      <c r="A123" s="3">
        <v>42736</v>
      </c>
      <c r="B123" s="25"/>
      <c r="C123" s="65">
        <f t="shared" si="9"/>
        <v>1113.0699999999997</v>
      </c>
      <c r="D123" s="17">
        <v>0</v>
      </c>
      <c r="E123" s="83">
        <f>'Pulp Mill'!G201</f>
        <v>0</v>
      </c>
      <c r="F123" s="65"/>
      <c r="G123" s="95">
        <v>336</v>
      </c>
      <c r="H123" s="31">
        <v>158.15454692394951</v>
      </c>
      <c r="I123" s="17"/>
      <c r="J123" s="94">
        <v>31</v>
      </c>
      <c r="K123" s="17"/>
      <c r="L123" s="10">
        <f t="shared" si="8"/>
        <v>10100300.717738934</v>
      </c>
      <c r="M123" s="42"/>
      <c r="N123" s="5">
        <f>AVERAGE(N3:N122)</f>
        <v>9.1545077235883676E-2</v>
      </c>
    </row>
    <row r="124" spans="1:14" x14ac:dyDescent="0.25">
      <c r="A124" s="3">
        <v>42767</v>
      </c>
      <c r="B124" s="25"/>
      <c r="C124" s="65">
        <f t="shared" si="9"/>
        <v>953.58894736842126</v>
      </c>
      <c r="D124" s="17">
        <v>0</v>
      </c>
      <c r="E124" s="83">
        <f>'Pulp Mill'!G202</f>
        <v>0</v>
      </c>
      <c r="F124" s="65"/>
      <c r="G124" s="95">
        <v>304</v>
      </c>
      <c r="H124" s="31">
        <v>158.46742905214063</v>
      </c>
      <c r="I124" s="17"/>
      <c r="J124" s="94">
        <v>28</v>
      </c>
      <c r="K124" s="17"/>
      <c r="L124" s="10">
        <f t="shared" si="8"/>
        <v>9223210.014150843</v>
      </c>
      <c r="M124" s="42"/>
    </row>
    <row r="125" spans="1:14" x14ac:dyDescent="0.25">
      <c r="A125" s="3">
        <v>42795</v>
      </c>
      <c r="B125" s="25"/>
      <c r="C125" s="65">
        <f t="shared" si="9"/>
        <v>750.64210526315799</v>
      </c>
      <c r="D125" s="17">
        <v>1</v>
      </c>
      <c r="E125" s="83">
        <f>'Pulp Mill'!G203</f>
        <v>0</v>
      </c>
      <c r="F125" s="65"/>
      <c r="G125" s="95">
        <v>368</v>
      </c>
      <c r="H125" s="31">
        <v>158.78093016491388</v>
      </c>
      <c r="I125" s="17"/>
      <c r="J125" s="94">
        <v>31</v>
      </c>
      <c r="K125" s="17"/>
      <c r="L125" s="10">
        <f t="shared" si="8"/>
        <v>7535204.0082212687</v>
      </c>
      <c r="M125" s="42"/>
    </row>
    <row r="126" spans="1:14" x14ac:dyDescent="0.25">
      <c r="A126" s="3">
        <v>42826</v>
      </c>
      <c r="B126" s="25"/>
      <c r="C126" s="65">
        <f t="shared" si="9"/>
        <v>492.2847368421053</v>
      </c>
      <c r="D126" s="17">
        <v>1</v>
      </c>
      <c r="E126" s="83">
        <f>'Pulp Mill'!G204</f>
        <v>0</v>
      </c>
      <c r="F126" s="65"/>
      <c r="G126" s="95">
        <v>304</v>
      </c>
      <c r="H126" s="31">
        <v>159.09505148682601</v>
      </c>
      <c r="I126" s="17"/>
      <c r="J126" s="94">
        <v>30</v>
      </c>
      <c r="K126" s="17"/>
      <c r="L126" s="10">
        <f t="shared" si="8"/>
        <v>6114327.7203711364</v>
      </c>
      <c r="M126" s="42"/>
    </row>
    <row r="127" spans="1:14" x14ac:dyDescent="0.25">
      <c r="A127" s="3">
        <v>42856</v>
      </c>
      <c r="B127" s="25"/>
      <c r="C127" s="65">
        <f t="shared" si="9"/>
        <v>260.26000000000005</v>
      </c>
      <c r="D127" s="17">
        <v>1</v>
      </c>
      <c r="E127" s="83">
        <f>'Pulp Mill'!G205</f>
        <v>0</v>
      </c>
      <c r="F127" s="65"/>
      <c r="G127" s="95">
        <v>352</v>
      </c>
      <c r="H127" s="31">
        <v>159.4097942448563</v>
      </c>
      <c r="I127" s="17"/>
      <c r="J127" s="94">
        <v>31</v>
      </c>
      <c r="K127" s="17"/>
      <c r="L127" s="10">
        <f t="shared" si="8"/>
        <v>4838271.8107276876</v>
      </c>
      <c r="M127" s="42"/>
    </row>
    <row r="128" spans="1:14" x14ac:dyDescent="0.25">
      <c r="A128" s="3">
        <v>42887</v>
      </c>
      <c r="B128" s="25"/>
      <c r="C128" s="65">
        <f t="shared" si="9"/>
        <v>89.673684210526318</v>
      </c>
      <c r="D128" s="17">
        <v>0</v>
      </c>
      <c r="E128" s="83">
        <f>'Pulp Mill'!G206</f>
        <v>0</v>
      </c>
      <c r="F128" s="65"/>
      <c r="G128" s="95">
        <v>352</v>
      </c>
      <c r="H128" s="31">
        <v>159.72515966841141</v>
      </c>
      <c r="I128" s="17"/>
      <c r="J128" s="94">
        <v>30</v>
      </c>
      <c r="K128" s="17"/>
      <c r="L128" s="10">
        <f t="shared" si="8"/>
        <v>4471974.4692356344</v>
      </c>
      <c r="M128" s="42"/>
    </row>
    <row r="129" spans="1:13" x14ac:dyDescent="0.25">
      <c r="A129" s="3">
        <v>42917</v>
      </c>
      <c r="B129" s="25"/>
      <c r="C129" s="65">
        <f t="shared" si="9"/>
        <v>35.763684210526314</v>
      </c>
      <c r="D129" s="17">
        <v>0</v>
      </c>
      <c r="E129" s="83">
        <f>'Pulp Mill'!G207</f>
        <v>0</v>
      </c>
      <c r="F129" s="65"/>
      <c r="G129" s="95">
        <v>320</v>
      </c>
      <c r="H129" s="31">
        <v>160.0411489893302</v>
      </c>
      <c r="I129" s="17"/>
      <c r="J129" s="94">
        <v>31</v>
      </c>
      <c r="K129" s="17"/>
      <c r="L129" s="10">
        <f t="shared" si="8"/>
        <v>4175488.0901316162</v>
      </c>
      <c r="M129" s="42"/>
    </row>
    <row r="130" spans="1:13" x14ac:dyDescent="0.25">
      <c r="A130" s="3">
        <v>42948</v>
      </c>
      <c r="B130" s="25"/>
      <c r="C130" s="65">
        <f t="shared" si="9"/>
        <v>49.53368421052631</v>
      </c>
      <c r="D130" s="17">
        <v>0</v>
      </c>
      <c r="E130" s="83">
        <f>'Pulp Mill'!G208</f>
        <v>0</v>
      </c>
      <c r="F130" s="65"/>
      <c r="G130" s="95">
        <v>352</v>
      </c>
      <c r="H130" s="31">
        <v>160.35776344188849</v>
      </c>
      <c r="I130" s="17"/>
      <c r="J130" s="94">
        <v>31</v>
      </c>
      <c r="K130" s="17"/>
      <c r="L130" s="10">
        <f t="shared" si="8"/>
        <v>4251218.3338760482</v>
      </c>
      <c r="M130" s="42"/>
    </row>
    <row r="131" spans="1:13" x14ac:dyDescent="0.25">
      <c r="A131" s="3">
        <v>42979</v>
      </c>
      <c r="B131" s="25"/>
      <c r="C131" s="65">
        <f t="shared" si="9"/>
        <v>162.29315789473685</v>
      </c>
      <c r="D131" s="17">
        <v>1</v>
      </c>
      <c r="E131" s="83">
        <f>'Pulp Mill'!G209</f>
        <v>0</v>
      </c>
      <c r="F131" s="65"/>
      <c r="G131" s="95">
        <v>320</v>
      </c>
      <c r="H131" s="31">
        <v>160.67500426280395</v>
      </c>
      <c r="I131" s="17"/>
      <c r="J131" s="94">
        <v>30</v>
      </c>
      <c r="K131" s="17"/>
      <c r="L131" s="10">
        <f t="shared" si="8"/>
        <v>4299488.0175901521</v>
      </c>
      <c r="M131" s="42"/>
    </row>
    <row r="132" spans="1:13" x14ac:dyDescent="0.25">
      <c r="A132" s="3">
        <v>43009</v>
      </c>
      <c r="B132" s="25"/>
      <c r="C132" s="65">
        <f t="shared" si="9"/>
        <v>383.93315789473684</v>
      </c>
      <c r="D132" s="17">
        <v>1</v>
      </c>
      <c r="E132" s="83">
        <f>'Pulp Mill'!G210</f>
        <v>0</v>
      </c>
      <c r="F132" s="65"/>
      <c r="G132" s="95">
        <v>336</v>
      </c>
      <c r="H132" s="31">
        <v>160.99287269124085</v>
      </c>
      <c r="I132" s="17"/>
      <c r="J132" s="94">
        <v>31</v>
      </c>
      <c r="K132" s="17"/>
      <c r="L132" s="10">
        <f t="shared" ref="L132:L146" si="12">$P$18+C132*$P$19+D132*$P$20+E132*$P$21</f>
        <v>5518431.4615637101</v>
      </c>
      <c r="M132" s="42"/>
    </row>
    <row r="133" spans="1:13" x14ac:dyDescent="0.25">
      <c r="A133" s="3">
        <v>43040</v>
      </c>
      <c r="B133" s="25"/>
      <c r="C133" s="65">
        <f t="shared" si="9"/>
        <v>633.81999999999994</v>
      </c>
      <c r="D133" s="17">
        <v>1</v>
      </c>
      <c r="E133" s="83">
        <f>'Pulp Mill'!G211</f>
        <v>0</v>
      </c>
      <c r="F133" s="65"/>
      <c r="G133" s="95">
        <v>352</v>
      </c>
      <c r="H133" s="31">
        <v>161.31136996881492</v>
      </c>
      <c r="I133" s="17"/>
      <c r="J133" s="94">
        <v>30</v>
      </c>
      <c r="K133" s="17"/>
      <c r="L133" s="10">
        <f t="shared" si="12"/>
        <v>6892722.7804568075</v>
      </c>
      <c r="M133" s="42"/>
    </row>
    <row r="134" spans="1:13" x14ac:dyDescent="0.25">
      <c r="A134" s="3">
        <v>43070</v>
      </c>
      <c r="B134" s="25"/>
      <c r="C134" s="65">
        <f t="shared" si="9"/>
        <v>964.45</v>
      </c>
      <c r="D134" s="17">
        <v>0</v>
      </c>
      <c r="E134" s="83">
        <f>'Pulp Mill'!G212</f>
        <v>0</v>
      </c>
      <c r="F134" s="65"/>
      <c r="G134" s="95">
        <v>304</v>
      </c>
      <c r="H134" s="31">
        <v>161.63049733959846</v>
      </c>
      <c r="I134" s="17"/>
      <c r="J134" s="94">
        <v>31</v>
      </c>
      <c r="K134" s="17"/>
      <c r="L134" s="10">
        <f t="shared" si="12"/>
        <v>9282942.05213999</v>
      </c>
      <c r="M134" s="42"/>
    </row>
    <row r="135" spans="1:13" x14ac:dyDescent="0.25">
      <c r="A135" s="3">
        <v>43101</v>
      </c>
      <c r="B135" s="25"/>
      <c r="C135" s="65">
        <f t="shared" si="9"/>
        <v>1113.0699999999997</v>
      </c>
      <c r="D135" s="17">
        <v>0</v>
      </c>
      <c r="E135" s="83">
        <f>'Pulp Mill'!G213</f>
        <v>0</v>
      </c>
      <c r="F135" s="65"/>
      <c r="G135" s="31"/>
      <c r="H135" s="31">
        <v>161.95025605012432</v>
      </c>
      <c r="I135" s="17"/>
      <c r="J135" s="94">
        <v>31</v>
      </c>
      <c r="K135" s="17"/>
      <c r="L135" s="10">
        <f t="shared" si="12"/>
        <v>10100300.717738934</v>
      </c>
    </row>
    <row r="136" spans="1:13" x14ac:dyDescent="0.25">
      <c r="A136" s="3">
        <v>43132</v>
      </c>
      <c r="B136" s="25"/>
      <c r="C136" s="65">
        <f t="shared" si="9"/>
        <v>953.58894736842126</v>
      </c>
      <c r="D136" s="17">
        <v>0</v>
      </c>
      <c r="E136" s="83">
        <f>'Pulp Mill'!G214</f>
        <v>0</v>
      </c>
      <c r="F136" s="65"/>
      <c r="G136" s="31"/>
      <c r="H136" s="31">
        <v>162.27064734939202</v>
      </c>
      <c r="I136" s="17"/>
      <c r="J136" s="94">
        <v>28</v>
      </c>
      <c r="K136" s="17"/>
      <c r="L136" s="10">
        <f t="shared" si="12"/>
        <v>9223210.014150843</v>
      </c>
    </row>
    <row r="137" spans="1:13" x14ac:dyDescent="0.25">
      <c r="A137" s="3">
        <v>43160</v>
      </c>
      <c r="B137" s="25"/>
      <c r="C137" s="65">
        <f t="shared" si="9"/>
        <v>750.64210526315799</v>
      </c>
      <c r="D137" s="17">
        <v>1</v>
      </c>
      <c r="E137" s="83">
        <f>'Pulp Mill'!G215</f>
        <v>0</v>
      </c>
      <c r="F137" s="65"/>
      <c r="G137" s="31"/>
      <c r="H137" s="31">
        <v>162.59167248887184</v>
      </c>
      <c r="I137" s="17"/>
      <c r="J137" s="94">
        <v>31</v>
      </c>
      <c r="K137" s="17"/>
      <c r="L137" s="10">
        <f t="shared" si="12"/>
        <v>7535204.0082212687</v>
      </c>
    </row>
    <row r="138" spans="1:13" x14ac:dyDescent="0.25">
      <c r="A138" s="3">
        <v>43191</v>
      </c>
      <c r="B138" s="25"/>
      <c r="C138" s="65">
        <f t="shared" si="9"/>
        <v>492.2847368421053</v>
      </c>
      <c r="D138" s="17">
        <v>1</v>
      </c>
      <c r="E138" s="83">
        <f>'Pulp Mill'!G216</f>
        <v>0</v>
      </c>
      <c r="F138" s="65"/>
      <c r="G138" s="31"/>
      <c r="H138" s="31">
        <v>162.91333272250986</v>
      </c>
      <c r="I138" s="17"/>
      <c r="J138" s="94">
        <v>30</v>
      </c>
      <c r="K138" s="17"/>
      <c r="L138" s="10">
        <f t="shared" si="12"/>
        <v>6114327.7203711364</v>
      </c>
    </row>
    <row r="139" spans="1:13" x14ac:dyDescent="0.25">
      <c r="A139" s="3">
        <v>43221</v>
      </c>
      <c r="C139" s="65">
        <f t="shared" si="9"/>
        <v>260.26000000000005</v>
      </c>
      <c r="D139" s="171">
        <v>1</v>
      </c>
      <c r="E139" s="83">
        <f>'Pulp Mill'!G217</f>
        <v>0</v>
      </c>
      <c r="H139" s="32">
        <v>163.23562930673287</v>
      </c>
      <c r="J139" s="94">
        <v>31</v>
      </c>
      <c r="L139" s="10">
        <f t="shared" si="12"/>
        <v>4838271.8107276876</v>
      </c>
    </row>
    <row r="140" spans="1:13" x14ac:dyDescent="0.25">
      <c r="A140" s="3">
        <v>43252</v>
      </c>
      <c r="C140" s="65">
        <f t="shared" si="9"/>
        <v>89.673684210526318</v>
      </c>
      <c r="D140" s="171">
        <v>0</v>
      </c>
      <c r="E140" s="83">
        <f>'Pulp Mill'!G218</f>
        <v>0</v>
      </c>
      <c r="H140" s="32">
        <v>163.55856350045332</v>
      </c>
      <c r="J140" s="94">
        <v>30</v>
      </c>
      <c r="L140" s="10">
        <f t="shared" si="12"/>
        <v>4471974.4692356344</v>
      </c>
    </row>
    <row r="141" spans="1:13" x14ac:dyDescent="0.25">
      <c r="A141" s="3">
        <v>43282</v>
      </c>
      <c r="C141" s="65">
        <f t="shared" si="9"/>
        <v>35.763684210526314</v>
      </c>
      <c r="D141" s="171">
        <v>0</v>
      </c>
      <c r="E141" s="83">
        <f>'Pulp Mill'!G219</f>
        <v>0</v>
      </c>
      <c r="H141" s="32">
        <v>163.88213656507418</v>
      </c>
      <c r="J141" s="94">
        <v>31</v>
      </c>
      <c r="L141" s="10">
        <f t="shared" si="12"/>
        <v>4175488.0901316162</v>
      </c>
    </row>
    <row r="142" spans="1:13" x14ac:dyDescent="0.25">
      <c r="A142" s="3">
        <v>43313</v>
      </c>
      <c r="C142" s="65">
        <f t="shared" si="9"/>
        <v>49.53368421052631</v>
      </c>
      <c r="D142" s="171">
        <v>0</v>
      </c>
      <c r="E142" s="83">
        <f>'Pulp Mill'!G220</f>
        <v>0</v>
      </c>
      <c r="H142" s="32">
        <v>164.20634976449389</v>
      </c>
      <c r="J142" s="94">
        <v>31</v>
      </c>
      <c r="L142" s="10">
        <f t="shared" si="12"/>
        <v>4251218.3338760482</v>
      </c>
    </row>
    <row r="143" spans="1:13" x14ac:dyDescent="0.25">
      <c r="A143" s="3">
        <v>43344</v>
      </c>
      <c r="C143" s="65">
        <f t="shared" si="9"/>
        <v>162.29315789473685</v>
      </c>
      <c r="D143" s="171">
        <v>1</v>
      </c>
      <c r="E143" s="83">
        <f>'Pulp Mill'!G221</f>
        <v>0</v>
      </c>
      <c r="H143" s="32">
        <v>164.53120436511134</v>
      </c>
      <c r="J143" s="94">
        <v>30</v>
      </c>
      <c r="L143" s="10">
        <f t="shared" si="12"/>
        <v>4299488.0175901521</v>
      </c>
    </row>
    <row r="144" spans="1:13" x14ac:dyDescent="0.25">
      <c r="A144" s="3">
        <v>43374</v>
      </c>
      <c r="C144" s="65">
        <f t="shared" ref="C144:C146" si="13">C132</f>
        <v>383.93315789473684</v>
      </c>
      <c r="D144" s="171">
        <v>1</v>
      </c>
      <c r="E144" s="83">
        <f>'Pulp Mill'!G222</f>
        <v>0</v>
      </c>
      <c r="H144" s="32">
        <v>164.85670163583072</v>
      </c>
      <c r="J144" s="94">
        <v>31</v>
      </c>
      <c r="L144" s="10">
        <f t="shared" si="12"/>
        <v>5518431.4615637101</v>
      </c>
    </row>
    <row r="145" spans="1:38" x14ac:dyDescent="0.25">
      <c r="A145" s="3">
        <v>43405</v>
      </c>
      <c r="C145" s="65">
        <f t="shared" si="13"/>
        <v>633.81999999999994</v>
      </c>
      <c r="D145" s="171">
        <v>1</v>
      </c>
      <c r="E145" s="83">
        <f>'Pulp Mill'!G223</f>
        <v>0</v>
      </c>
      <c r="H145" s="32">
        <v>165.18284284806657</v>
      </c>
      <c r="J145" s="94">
        <v>30</v>
      </c>
      <c r="L145" s="10">
        <f t="shared" si="12"/>
        <v>6892722.7804568075</v>
      </c>
    </row>
    <row r="146" spans="1:38" x14ac:dyDescent="0.25">
      <c r="A146" s="3">
        <v>43435</v>
      </c>
      <c r="C146" s="65">
        <f t="shared" si="13"/>
        <v>964.45</v>
      </c>
      <c r="D146" s="171">
        <v>0</v>
      </c>
      <c r="E146" s="83">
        <f>'Pulp Mill'!G224</f>
        <v>0</v>
      </c>
      <c r="H146" s="32">
        <v>165.18636828106963</v>
      </c>
      <c r="J146" s="94">
        <v>31</v>
      </c>
      <c r="L146" s="10">
        <f t="shared" si="12"/>
        <v>9282942.05213999</v>
      </c>
    </row>
    <row r="147" spans="1:38" x14ac:dyDescent="0.25">
      <c r="A147" s="3"/>
    </row>
    <row r="148" spans="1:38" x14ac:dyDescent="0.25">
      <c r="A148" s="3"/>
      <c r="C148" s="21"/>
      <c r="F148" s="21"/>
      <c r="L148" s="42">
        <f>SUM(L3:L147)</f>
        <v>967948096.54240823</v>
      </c>
      <c r="M148"/>
      <c r="N148"/>
    </row>
    <row r="149" spans="1:38" s="171" customFormat="1" x14ac:dyDescent="0.25">
      <c r="A149" s="3"/>
      <c r="B149" s="6"/>
      <c r="G149" s="32"/>
      <c r="H149" s="32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</row>
    <row r="150" spans="1:38" s="171" customFormat="1" x14ac:dyDescent="0.25">
      <c r="A150" s="16">
        <v>2007</v>
      </c>
      <c r="B150" s="6">
        <f>SUM(B3:B14)</f>
        <v>93884880</v>
      </c>
      <c r="G150" s="32"/>
      <c r="H150" s="32"/>
      <c r="L150" s="6">
        <f>SUM(L3:L14)</f>
        <v>93560243.060319334</v>
      </c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</row>
    <row r="151" spans="1:38" s="171" customFormat="1" x14ac:dyDescent="0.25">
      <c r="A151">
        <v>2008</v>
      </c>
      <c r="B151" s="6">
        <f>SUM(B15:B26)</f>
        <v>81867475</v>
      </c>
      <c r="G151" s="32"/>
      <c r="H151" s="32"/>
      <c r="L151" s="6">
        <f>SUM(L15:L26)</f>
        <v>82833275.324973106</v>
      </c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</row>
    <row r="152" spans="1:38" s="171" customFormat="1" x14ac:dyDescent="0.25">
      <c r="A152" s="16">
        <v>2009</v>
      </c>
      <c r="B152" s="6">
        <f>SUM(B27:B38)</f>
        <v>76016629</v>
      </c>
      <c r="G152" s="32"/>
      <c r="H152" s="32"/>
      <c r="L152" s="6">
        <f>SUM(L27:L38)</f>
        <v>76703579.476203829</v>
      </c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</row>
    <row r="153" spans="1:38" s="171" customFormat="1" x14ac:dyDescent="0.25">
      <c r="A153">
        <v>2010</v>
      </c>
      <c r="B153" s="6">
        <f>SUM(B39:B50)</f>
        <v>74719842</v>
      </c>
      <c r="G153" s="32"/>
      <c r="H153" s="32"/>
      <c r="L153" s="6">
        <f>SUM(L39:L50)</f>
        <v>79002215.419492304</v>
      </c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</row>
    <row r="154" spans="1:38" s="171" customFormat="1" x14ac:dyDescent="0.25">
      <c r="A154">
        <v>2011</v>
      </c>
      <c r="B154" s="6">
        <f>SUM(B51:B62)</f>
        <v>76399313</v>
      </c>
      <c r="G154" s="32"/>
      <c r="H154" s="32"/>
      <c r="L154" s="6">
        <f>SUM(L51:L62)</f>
        <v>76703579.476203829</v>
      </c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</row>
    <row r="155" spans="1:38" s="171" customFormat="1" x14ac:dyDescent="0.25">
      <c r="A155">
        <v>2012</v>
      </c>
      <c r="B155" s="6">
        <f>SUM(B63:B74)</f>
        <v>75601634</v>
      </c>
      <c r="G155" s="32"/>
      <c r="H155" s="32"/>
      <c r="L155" s="6">
        <f>SUM(L63:L74)</f>
        <v>76703579.476203829</v>
      </c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</row>
    <row r="156" spans="1:38" s="171" customFormat="1" x14ac:dyDescent="0.25">
      <c r="A156">
        <v>2013</v>
      </c>
      <c r="B156" s="6">
        <f>SUM(B75:B86)</f>
        <v>87692322.840000004</v>
      </c>
      <c r="G156" s="32"/>
      <c r="H156" s="32"/>
      <c r="L156" s="6">
        <f>SUM(L75:L86)</f>
        <v>83599487.306069255</v>
      </c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</row>
    <row r="157" spans="1:38" s="171" customFormat="1" x14ac:dyDescent="0.25">
      <c r="A157">
        <v>2014</v>
      </c>
      <c r="B157" s="6">
        <f>SUM(B87:B98)</f>
        <v>89519316.590000004</v>
      </c>
      <c r="G157" s="32"/>
      <c r="H157" s="32"/>
      <c r="L157" s="6">
        <f>SUM(L87:L98)</f>
        <v>85898123.24935773</v>
      </c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</row>
    <row r="158" spans="1:38" s="171" customFormat="1" x14ac:dyDescent="0.25">
      <c r="A158" s="16">
        <v>2015</v>
      </c>
      <c r="B158" s="6">
        <f>SUM(B99:B110)</f>
        <v>83393450.549999982</v>
      </c>
      <c r="G158" s="32"/>
      <c r="H158" s="32"/>
      <c r="L158" s="6">
        <f>SUM(L99:L110)</f>
        <v>82833275.324973106</v>
      </c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</row>
    <row r="159" spans="1:38" s="171" customFormat="1" x14ac:dyDescent="0.25">
      <c r="A159">
        <v>2016</v>
      </c>
      <c r="B159" s="6">
        <f>SUM(B111:B122)</f>
        <v>75446074.609999999</v>
      </c>
      <c r="G159" s="32"/>
      <c r="H159" s="32"/>
      <c r="L159" s="6">
        <f>SUM(L111:L122)</f>
        <v>76703579.476203829</v>
      </c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</row>
    <row r="160" spans="1:38" s="171" customFormat="1" x14ac:dyDescent="0.25">
      <c r="A160" s="16">
        <v>2017</v>
      </c>
      <c r="B160" s="6"/>
      <c r="G160" s="32"/>
      <c r="H160" s="32"/>
      <c r="L160" s="6">
        <f>SUM(L123:L134)</f>
        <v>76703579.476203829</v>
      </c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</row>
    <row r="161" spans="1:38" s="171" customFormat="1" x14ac:dyDescent="0.25">
      <c r="A161">
        <v>2018</v>
      </c>
      <c r="B161" s="6"/>
      <c r="G161" s="32"/>
      <c r="H161" s="32"/>
      <c r="L161" s="6">
        <f>SUM(L135:L146)</f>
        <v>76703579.476203829</v>
      </c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</row>
    <row r="162" spans="1:38" s="171" customFormat="1" x14ac:dyDescent="0.25">
      <c r="A162"/>
      <c r="B162" s="6"/>
      <c r="G162" s="32"/>
      <c r="H162" s="32"/>
      <c r="L162" s="6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</row>
    <row r="163" spans="1:38" s="171" customFormat="1" x14ac:dyDescent="0.25">
      <c r="A163"/>
      <c r="B163" s="6"/>
      <c r="G163" s="32"/>
      <c r="H163" s="32"/>
      <c r="L163" s="6"/>
      <c r="M163" s="32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</row>
    <row r="164" spans="1:38" s="171" customFormat="1" x14ac:dyDescent="0.25">
      <c r="A164"/>
      <c r="B164" s="6"/>
      <c r="G164" s="32"/>
      <c r="H164" s="32"/>
      <c r="L164" s="6"/>
      <c r="M164" s="6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</row>
    <row r="165" spans="1:38" s="171" customFormat="1" x14ac:dyDescent="0.25">
      <c r="A165" s="67" t="s">
        <v>121</v>
      </c>
      <c r="B165" s="6">
        <f>SUM(B150:B159)</f>
        <v>814540937.59000003</v>
      </c>
      <c r="G165" s="32"/>
      <c r="H165" s="32"/>
      <c r="L165" s="6">
        <f>SUM(L150:L159)</f>
        <v>814540937.59000003</v>
      </c>
      <c r="M165" s="6">
        <f>B165-L165</f>
        <v>0</v>
      </c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</row>
    <row r="166" spans="1:38" s="171" customFormat="1" x14ac:dyDescent="0.25">
      <c r="A166"/>
      <c r="B166" s="6"/>
      <c r="G166" s="32"/>
      <c r="H166" s="32"/>
      <c r="M166" s="32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</row>
    <row r="167" spans="1:38" s="171" customFormat="1" x14ac:dyDescent="0.25">
      <c r="A167"/>
      <c r="B167" s="6"/>
      <c r="G167" s="32"/>
      <c r="H167" s="32"/>
      <c r="L167" s="6">
        <f>SUM(L150:L161)</f>
        <v>967948096.54240763</v>
      </c>
      <c r="M167" s="6">
        <f>L167-L148</f>
        <v>0</v>
      </c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</row>
    <row r="168" spans="1:38" s="171" customFormat="1" x14ac:dyDescent="0.25">
      <c r="A168"/>
      <c r="B168" s="6"/>
      <c r="G168" s="32"/>
      <c r="H168" s="32"/>
      <c r="L168" s="21"/>
      <c r="M168" s="32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</row>
    <row r="169" spans="1:38" s="171" customFormat="1" x14ac:dyDescent="0.25">
      <c r="A169"/>
      <c r="B169" s="6"/>
      <c r="G169" s="32"/>
      <c r="H169" s="32"/>
      <c r="M169" s="32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</row>
    <row r="170" spans="1:38" s="171" customFormat="1" x14ac:dyDescent="0.25">
      <c r="A170"/>
      <c r="B170"/>
      <c r="C170"/>
      <c r="D170"/>
      <c r="E170"/>
      <c r="F170"/>
      <c r="G170"/>
      <c r="H170"/>
      <c r="I170"/>
      <c r="J170"/>
      <c r="K170"/>
      <c r="L170"/>
      <c r="M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</row>
    <row r="171" spans="1:38" s="171" customFormat="1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</row>
    <row r="172" spans="1:38" s="171" customFormat="1" x14ac:dyDescent="0.25">
      <c r="A172"/>
      <c r="B172"/>
      <c r="C172"/>
      <c r="D172"/>
      <c r="E172"/>
      <c r="F172"/>
      <c r="G172"/>
      <c r="H172"/>
      <c r="I172"/>
      <c r="J172"/>
      <c r="K172"/>
      <c r="L172"/>
      <c r="M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</row>
    <row r="173" spans="1:38" s="171" customFormat="1" x14ac:dyDescent="0.25">
      <c r="A173"/>
      <c r="B173"/>
      <c r="C173"/>
      <c r="D173"/>
      <c r="E173"/>
      <c r="F173"/>
      <c r="G173"/>
      <c r="H173"/>
      <c r="I173"/>
      <c r="J173"/>
      <c r="K173"/>
      <c r="L173"/>
      <c r="M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</row>
    <row r="174" spans="1:38" s="171" customFormat="1" x14ac:dyDescent="0.25">
      <c r="A174"/>
      <c r="B174"/>
      <c r="C174"/>
      <c r="D174"/>
      <c r="E174"/>
      <c r="F174"/>
      <c r="G174"/>
      <c r="H174"/>
      <c r="I174"/>
      <c r="J174"/>
      <c r="K174"/>
      <c r="L174"/>
      <c r="M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</row>
    <row r="175" spans="1:38" s="171" customFormat="1" x14ac:dyDescent="0.25">
      <c r="A175"/>
      <c r="B175"/>
      <c r="C175"/>
      <c r="D175"/>
      <c r="E175"/>
      <c r="F175"/>
      <c r="G175"/>
      <c r="H175"/>
      <c r="I175"/>
      <c r="J175"/>
      <c r="K175"/>
      <c r="L175"/>
      <c r="M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</row>
    <row r="176" spans="1:38" s="171" customFormat="1" x14ac:dyDescent="0.25">
      <c r="A176"/>
      <c r="B176"/>
      <c r="C176"/>
      <c r="D176"/>
      <c r="E176"/>
      <c r="F176"/>
      <c r="G176"/>
      <c r="H176"/>
      <c r="I176"/>
      <c r="J176"/>
      <c r="K176"/>
      <c r="L176"/>
      <c r="M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</row>
    <row r="177" spans="1:38" s="171" customFormat="1" x14ac:dyDescent="0.25">
      <c r="A177"/>
      <c r="B177"/>
      <c r="C177"/>
      <c r="D177"/>
      <c r="E177"/>
      <c r="F177"/>
      <c r="G177"/>
      <c r="H177"/>
      <c r="I177"/>
      <c r="J177"/>
      <c r="K177"/>
      <c r="L177"/>
      <c r="M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</row>
    <row r="178" spans="1:38" s="171" customFormat="1" x14ac:dyDescent="0.25">
      <c r="A178"/>
      <c r="B178"/>
      <c r="C178"/>
      <c r="D178"/>
      <c r="E178"/>
      <c r="F178"/>
      <c r="G178"/>
      <c r="H178"/>
      <c r="I178"/>
      <c r="J178"/>
      <c r="K178"/>
      <c r="L178"/>
      <c r="M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</row>
    <row r="179" spans="1:38" s="171" customFormat="1" x14ac:dyDescent="0.25">
      <c r="A179"/>
      <c r="B179"/>
      <c r="C179"/>
      <c r="D179"/>
      <c r="E179"/>
      <c r="F179"/>
      <c r="G179"/>
      <c r="H179"/>
      <c r="I179"/>
      <c r="J179"/>
      <c r="K179"/>
      <c r="L179"/>
      <c r="M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</row>
    <row r="180" spans="1:38" s="171" customFormat="1" x14ac:dyDescent="0.25">
      <c r="A180"/>
      <c r="B180"/>
      <c r="C180"/>
      <c r="D180"/>
      <c r="E180"/>
      <c r="F180"/>
      <c r="G180"/>
      <c r="H180"/>
      <c r="I180"/>
      <c r="J180"/>
      <c r="K180"/>
      <c r="L180"/>
      <c r="M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</row>
    <row r="181" spans="1:38" s="171" customFormat="1" x14ac:dyDescent="0.25">
      <c r="A181"/>
      <c r="B181"/>
      <c r="C181"/>
      <c r="D181"/>
      <c r="E181"/>
      <c r="F181"/>
      <c r="G181"/>
      <c r="H181"/>
      <c r="I181"/>
      <c r="J181"/>
      <c r="K181"/>
      <c r="L181"/>
      <c r="M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</row>
    <row r="182" spans="1:38" s="171" customFormat="1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</row>
    <row r="183" spans="1:38" s="171" customFormat="1" x14ac:dyDescent="0.25">
      <c r="A183"/>
      <c r="B183"/>
      <c r="C183"/>
      <c r="D183"/>
      <c r="E183"/>
      <c r="F183"/>
      <c r="G183"/>
      <c r="H183"/>
      <c r="I183"/>
      <c r="J183"/>
      <c r="K183"/>
      <c r="L183"/>
      <c r="M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</row>
    <row r="184" spans="1:38" s="171" customFormat="1" x14ac:dyDescent="0.25">
      <c r="A184" s="3"/>
      <c r="B184" s="25"/>
      <c r="C184" s="65"/>
      <c r="D184" s="17"/>
      <c r="E184" s="17"/>
      <c r="F184" s="65"/>
      <c r="G184" s="31"/>
      <c r="H184" s="31"/>
      <c r="I184" s="65"/>
      <c r="J184" s="17"/>
      <c r="K184" s="17"/>
      <c r="L184" s="10"/>
      <c r="M184" s="32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</row>
    <row r="185" spans="1:38" s="171" customFormat="1" x14ac:dyDescent="0.25">
      <c r="A185"/>
      <c r="B185" s="6"/>
      <c r="G185" s="32"/>
      <c r="H185" s="32"/>
      <c r="M185" s="32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</row>
    <row r="186" spans="1:38" s="171" customFormat="1" x14ac:dyDescent="0.25">
      <c r="A186"/>
      <c r="B186" s="6"/>
      <c r="G186" s="32"/>
      <c r="H186" s="32"/>
      <c r="M186" s="32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</row>
    <row r="187" spans="1:38" s="171" customFormat="1" x14ac:dyDescent="0.25">
      <c r="A187"/>
      <c r="B187" s="6"/>
      <c r="G187" s="32"/>
      <c r="H187" s="32"/>
      <c r="M187" s="32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</row>
    <row r="188" spans="1:38" s="171" customFormat="1" x14ac:dyDescent="0.25">
      <c r="A188"/>
      <c r="B188" s="6"/>
      <c r="G188" s="32"/>
      <c r="H188" s="32"/>
      <c r="M188" s="32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</row>
    <row r="189" spans="1:38" s="171" customFormat="1" x14ac:dyDescent="0.25">
      <c r="A189"/>
      <c r="B189" s="6"/>
      <c r="G189" s="32"/>
      <c r="H189" s="32"/>
      <c r="M189" s="32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</row>
    <row r="190" spans="1:38" s="171" customFormat="1" x14ac:dyDescent="0.25">
      <c r="A190"/>
      <c r="B190" s="6"/>
      <c r="G190" s="32"/>
      <c r="H190" s="32"/>
      <c r="M190" s="32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</row>
    <row r="191" spans="1:38" s="171" customFormat="1" x14ac:dyDescent="0.25">
      <c r="A191"/>
      <c r="B191" s="6"/>
      <c r="G191" s="32"/>
      <c r="H191" s="32"/>
      <c r="M191" s="32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</row>
    <row r="192" spans="1:38" s="171" customFormat="1" x14ac:dyDescent="0.25">
      <c r="A192"/>
      <c r="B192" s="6"/>
      <c r="G192" s="32"/>
      <c r="H192" s="32"/>
      <c r="M192" s="3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</row>
    <row r="193" spans="1:38" s="171" customFormat="1" x14ac:dyDescent="0.25">
      <c r="A193"/>
      <c r="B193" s="6"/>
      <c r="G193" s="32"/>
      <c r="H193" s="32"/>
      <c r="M193" s="32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</row>
    <row r="194" spans="1:38" s="171" customFormat="1" x14ac:dyDescent="0.25">
      <c r="A194"/>
      <c r="B194" s="6"/>
      <c r="G194" s="32"/>
      <c r="H194" s="32"/>
      <c r="M194" s="32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</row>
    <row r="195" spans="1:38" s="171" customFormat="1" x14ac:dyDescent="0.25">
      <c r="A195"/>
      <c r="B195" s="6"/>
      <c r="G195" s="32"/>
      <c r="H195" s="32"/>
      <c r="M195" s="32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</row>
    <row r="196" spans="1:38" s="171" customFormat="1" x14ac:dyDescent="0.25">
      <c r="A196"/>
      <c r="B196" s="6"/>
      <c r="G196" s="32"/>
      <c r="H196" s="32"/>
      <c r="M196" s="32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</row>
    <row r="197" spans="1:38" s="171" customFormat="1" x14ac:dyDescent="0.25">
      <c r="A197"/>
      <c r="B197" s="6"/>
      <c r="G197" s="32"/>
      <c r="H197" s="32"/>
      <c r="M197" s="32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</row>
    <row r="198" spans="1:38" s="171" customFormat="1" x14ac:dyDescent="0.25">
      <c r="A198"/>
      <c r="B198" s="6"/>
      <c r="G198" s="32"/>
      <c r="H198" s="32"/>
      <c r="M198" s="32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</row>
    <row r="199" spans="1:38" s="171" customFormat="1" x14ac:dyDescent="0.25">
      <c r="A199"/>
      <c r="B199" s="6"/>
      <c r="G199" s="32"/>
      <c r="H199" s="32"/>
      <c r="M199" s="32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</row>
    <row r="200" spans="1:38" s="171" customFormat="1" x14ac:dyDescent="0.25">
      <c r="A200"/>
      <c r="B200" s="6"/>
      <c r="G200" s="32"/>
      <c r="H200" s="32"/>
      <c r="M200" s="32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</row>
    <row r="201" spans="1:38" s="171" customFormat="1" x14ac:dyDescent="0.25">
      <c r="A201"/>
      <c r="B201" s="6"/>
      <c r="G201" s="32"/>
      <c r="H201" s="32"/>
      <c r="M201" s="32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</row>
    <row r="202" spans="1:38" s="171" customFormat="1" x14ac:dyDescent="0.25">
      <c r="A202"/>
      <c r="B202" s="6"/>
      <c r="G202" s="32"/>
      <c r="H202" s="32"/>
      <c r="M202" s="3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</row>
    <row r="203" spans="1:38" s="171" customFormat="1" x14ac:dyDescent="0.25">
      <c r="A203"/>
      <c r="B203" s="6"/>
      <c r="G203" s="32"/>
      <c r="H203" s="32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</row>
    <row r="204" spans="1:38" s="171" customFormat="1" x14ac:dyDescent="0.25">
      <c r="A204"/>
      <c r="B204" s="6"/>
      <c r="G204" s="32"/>
      <c r="H204" s="32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</row>
    <row r="213" spans="13:15" x14ac:dyDescent="0.25">
      <c r="O213" s="5"/>
    </row>
    <row r="214" spans="13:15" x14ac:dyDescent="0.25">
      <c r="M214" s="35" t="e">
        <f>#REF!-#REF!</f>
        <v>#REF!</v>
      </c>
      <c r="N214" s="5" t="e">
        <f>M214/#REF!</f>
        <v>#REF!</v>
      </c>
      <c r="O214" s="5" t="e">
        <f>ABS(N214)</f>
        <v>#REF!</v>
      </c>
    </row>
    <row r="215" spans="13:15" x14ac:dyDescent="0.25">
      <c r="M215" s="35" t="e">
        <f>#REF!-#REF!</f>
        <v>#REF!</v>
      </c>
      <c r="N215" s="5" t="e">
        <f>M215/#REF!</f>
        <v>#REF!</v>
      </c>
      <c r="O215" s="5" t="e">
        <f t="shared" ref="O215:O225" si="14">ABS(N215)</f>
        <v>#REF!</v>
      </c>
    </row>
    <row r="216" spans="13:15" x14ac:dyDescent="0.25">
      <c r="M216" s="35" t="e">
        <f>#REF!-#REF!</f>
        <v>#REF!</v>
      </c>
      <c r="N216" s="5" t="e">
        <f>M216/#REF!</f>
        <v>#REF!</v>
      </c>
      <c r="O216" s="5" t="e">
        <f t="shared" si="14"/>
        <v>#REF!</v>
      </c>
    </row>
    <row r="217" spans="13:15" x14ac:dyDescent="0.25">
      <c r="M217" s="35" t="e">
        <f>#REF!-#REF!</f>
        <v>#REF!</v>
      </c>
      <c r="N217" s="5" t="e">
        <f>M217/#REF!</f>
        <v>#REF!</v>
      </c>
      <c r="O217" s="5" t="e">
        <f t="shared" si="14"/>
        <v>#REF!</v>
      </c>
    </row>
    <row r="218" spans="13:15" x14ac:dyDescent="0.25">
      <c r="M218" s="35" t="e">
        <f>#REF!-#REF!</f>
        <v>#REF!</v>
      </c>
      <c r="N218" s="5" t="e">
        <f>M218/#REF!</f>
        <v>#REF!</v>
      </c>
      <c r="O218" s="5" t="e">
        <f t="shared" si="14"/>
        <v>#REF!</v>
      </c>
    </row>
    <row r="219" spans="13:15" x14ac:dyDescent="0.25">
      <c r="M219" s="35" t="e">
        <f>#REF!-#REF!</f>
        <v>#REF!</v>
      </c>
      <c r="N219" s="5" t="e">
        <f>M219/#REF!</f>
        <v>#REF!</v>
      </c>
      <c r="O219" s="5" t="e">
        <f t="shared" si="14"/>
        <v>#REF!</v>
      </c>
    </row>
    <row r="220" spans="13:15" x14ac:dyDescent="0.25">
      <c r="M220" s="35" t="e">
        <f>#REF!-#REF!</f>
        <v>#REF!</v>
      </c>
      <c r="N220" s="5" t="e">
        <f>M220/#REF!</f>
        <v>#REF!</v>
      </c>
      <c r="O220" s="5" t="e">
        <f t="shared" si="14"/>
        <v>#REF!</v>
      </c>
    </row>
    <row r="221" spans="13:15" x14ac:dyDescent="0.25">
      <c r="M221" s="35" t="e">
        <f>#REF!-#REF!</f>
        <v>#REF!</v>
      </c>
      <c r="N221" s="5" t="e">
        <f>M221/#REF!</f>
        <v>#REF!</v>
      </c>
      <c r="O221" s="5" t="e">
        <f t="shared" si="14"/>
        <v>#REF!</v>
      </c>
    </row>
    <row r="222" spans="13:15" x14ac:dyDescent="0.25">
      <c r="M222" s="35" t="e">
        <f>#REF!-#REF!</f>
        <v>#REF!</v>
      </c>
      <c r="N222" s="5" t="e">
        <f>M222/#REF!</f>
        <v>#REF!</v>
      </c>
      <c r="O222" s="5" t="e">
        <f t="shared" si="14"/>
        <v>#REF!</v>
      </c>
    </row>
    <row r="223" spans="13:15" x14ac:dyDescent="0.25">
      <c r="M223" s="35" t="e">
        <f>#REF!-#REF!</f>
        <v>#REF!</v>
      </c>
      <c r="N223" s="5" t="e">
        <f>M223/#REF!</f>
        <v>#REF!</v>
      </c>
      <c r="O223" s="5" t="e">
        <f t="shared" si="14"/>
        <v>#REF!</v>
      </c>
    </row>
    <row r="224" spans="13:15" x14ac:dyDescent="0.25">
      <c r="M224" s="35" t="e">
        <f>#REF!-#REF!</f>
        <v>#REF!</v>
      </c>
      <c r="N224" s="5" t="e">
        <f>M224/#REF!</f>
        <v>#REF!</v>
      </c>
      <c r="O224" s="5" t="e">
        <f t="shared" si="14"/>
        <v>#REF!</v>
      </c>
    </row>
    <row r="225" spans="13:16" x14ac:dyDescent="0.25">
      <c r="M225" s="35" t="e">
        <f>#REF!-#REF!</f>
        <v>#REF!</v>
      </c>
      <c r="N225" s="5" t="e">
        <f>M225/#REF!</f>
        <v>#REF!</v>
      </c>
      <c r="O225" s="5" t="e">
        <f t="shared" si="14"/>
        <v>#REF!</v>
      </c>
    </row>
    <row r="236" spans="13:16" x14ac:dyDescent="0.25">
      <c r="M236" s="6">
        <f>L152-B152</f>
        <v>686950.47620382905</v>
      </c>
      <c r="O236" s="68" t="e">
        <f>AVERAGE(O214:O225)</f>
        <v>#REF!</v>
      </c>
      <c r="P236" s="67" t="s">
        <v>97</v>
      </c>
    </row>
    <row r="238" spans="13:16" x14ac:dyDescent="0.25">
      <c r="M238" s="42">
        <f>L148-L154</f>
        <v>891244517.06620443</v>
      </c>
    </row>
    <row r="239" spans="13:16" x14ac:dyDescent="0.25">
      <c r="M239" s="21" t="s">
        <v>58</v>
      </c>
      <c r="N239" s="21"/>
    </row>
    <row r="253" spans="1:38" s="171" customFormat="1" x14ac:dyDescent="0.25">
      <c r="A253"/>
      <c r="B253" s="6"/>
      <c r="G253" s="32"/>
      <c r="H253" s="32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</row>
    <row r="254" spans="1:38" s="171" customFormat="1" x14ac:dyDescent="0.25">
      <c r="A254"/>
      <c r="B254" s="6"/>
      <c r="G254" s="32"/>
      <c r="H254" s="32"/>
      <c r="M254" s="42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</row>
    <row r="256" spans="1:38" s="171" customFormat="1" x14ac:dyDescent="0.25">
      <c r="A256"/>
      <c r="B256" s="6"/>
      <c r="G256" s="32"/>
      <c r="H256" s="32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</row>
    <row r="257" spans="1:38" s="171" customFormat="1" x14ac:dyDescent="0.25">
      <c r="A257"/>
      <c r="B257" s="6"/>
      <c r="G257" s="32"/>
      <c r="H257" s="32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</row>
    <row r="258" spans="1:38" s="171" customFormat="1" x14ac:dyDescent="0.25">
      <c r="A258"/>
      <c r="B258" s="6"/>
      <c r="G258" s="32"/>
      <c r="H258" s="32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</row>
    <row r="259" spans="1:38" s="171" customFormat="1" x14ac:dyDescent="0.25">
      <c r="A259"/>
      <c r="B259" s="6"/>
      <c r="G259" s="32"/>
      <c r="H259" s="32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</row>
    <row r="260" spans="1:38" s="171" customFormat="1" x14ac:dyDescent="0.25">
      <c r="A260"/>
      <c r="B260" s="6"/>
      <c r="G260" s="32"/>
      <c r="H260" s="32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</row>
    <row r="261" spans="1:38" s="171" customFormat="1" x14ac:dyDescent="0.25">
      <c r="A261"/>
      <c r="B261" s="6"/>
      <c r="G261" s="32"/>
      <c r="H261" s="32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</row>
    <row r="262" spans="1:38" s="171" customFormat="1" x14ac:dyDescent="0.25">
      <c r="A262"/>
      <c r="B262" s="6"/>
      <c r="G262" s="32"/>
      <c r="H262" s="3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</row>
    <row r="263" spans="1:38" s="171" customFormat="1" x14ac:dyDescent="0.25">
      <c r="A263"/>
      <c r="B263" s="6"/>
      <c r="G263" s="32"/>
      <c r="H263" s="32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</row>
    <row r="264" spans="1:38" s="171" customFormat="1" x14ac:dyDescent="0.25">
      <c r="A264"/>
      <c r="B264" s="6"/>
      <c r="G264" s="32"/>
      <c r="H264" s="32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</row>
    <row r="265" spans="1:38" s="171" customFormat="1" x14ac:dyDescent="0.25">
      <c r="A265"/>
      <c r="B265" s="6"/>
      <c r="G265" s="32"/>
      <c r="H265" s="32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</row>
    <row r="266" spans="1:38" s="171" customFormat="1" x14ac:dyDescent="0.25">
      <c r="A266"/>
      <c r="B266" s="6"/>
      <c r="G266" s="32"/>
      <c r="H266" s="32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</row>
    <row r="267" spans="1:38" s="171" customFormat="1" x14ac:dyDescent="0.25">
      <c r="A267"/>
      <c r="B267" s="6"/>
      <c r="G267" s="32"/>
      <c r="H267" s="32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</row>
    <row r="268" spans="1:38" s="171" customFormat="1" x14ac:dyDescent="0.25">
      <c r="A268"/>
      <c r="B268" s="6"/>
      <c r="G268" s="32"/>
      <c r="H268" s="32"/>
      <c r="M268" s="42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</row>
  </sheetData>
  <pageMargins left="0.38" right="0.75" top="0.73" bottom="0.74" header="0.5" footer="0.5"/>
  <pageSetup orientation="landscape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13"/>
  <sheetViews>
    <sheetView workbookViewId="0">
      <pane xSplit="1" ySplit="1" topLeftCell="B125" activePane="bottomRight" state="frozen"/>
      <selection pane="topRight" activeCell="B1" sqref="B1"/>
      <selection pane="bottomLeft" activeCell="A3" sqref="A3"/>
      <selection pane="bottomRight" activeCell="D135" sqref="D135"/>
    </sheetView>
  </sheetViews>
  <sheetFormatPr defaultRowHeight="12.5" x14ac:dyDescent="0.25"/>
  <cols>
    <col min="1" max="1" width="11.81640625" customWidth="1"/>
    <col min="2" max="2" width="12.453125" style="1" customWidth="1"/>
    <col min="3" max="3" width="15.453125" bestFit="1" customWidth="1"/>
    <col min="4" max="4" width="17" customWidth="1"/>
    <col min="5" max="5" width="12.453125" customWidth="1"/>
    <col min="6" max="6" width="25.81640625" bestFit="1" customWidth="1"/>
    <col min="7" max="9" width="18" customWidth="1"/>
    <col min="10" max="10" width="17.1796875" customWidth="1"/>
    <col min="11" max="12" width="15.7265625" customWidth="1"/>
    <col min="13" max="13" width="15" customWidth="1"/>
    <col min="14" max="15" width="14.1796875" bestFit="1" customWidth="1"/>
    <col min="16" max="16" width="11.7265625" bestFit="1" customWidth="1"/>
    <col min="17" max="17" width="11.81640625" bestFit="1" customWidth="1"/>
    <col min="18" max="18" width="31.54296875" bestFit="1" customWidth="1"/>
    <col min="19" max="19" width="11.26953125" customWidth="1"/>
    <col min="20" max="20" width="11.54296875" customWidth="1"/>
    <col min="21" max="21" width="18.453125" bestFit="1" customWidth="1"/>
    <col min="23" max="23" width="11.7265625" bestFit="1" customWidth="1"/>
    <col min="24" max="24" width="10.7265625" bestFit="1" customWidth="1"/>
  </cols>
  <sheetData>
    <row r="1" spans="1:2" ht="42" customHeight="1" x14ac:dyDescent="0.25">
      <c r="B1" s="63" t="s">
        <v>60</v>
      </c>
    </row>
    <row r="2" spans="1:2" x14ac:dyDescent="0.25">
      <c r="A2" s="3">
        <v>37622</v>
      </c>
      <c r="B2" s="17">
        <v>2262</v>
      </c>
    </row>
    <row r="3" spans="1:2" x14ac:dyDescent="0.25">
      <c r="A3" s="3">
        <v>37653</v>
      </c>
      <c r="B3" s="17">
        <v>2262</v>
      </c>
    </row>
    <row r="4" spans="1:2" x14ac:dyDescent="0.25">
      <c r="A4" s="3">
        <v>37681</v>
      </c>
      <c r="B4" s="17">
        <v>2262</v>
      </c>
    </row>
    <row r="5" spans="1:2" x14ac:dyDescent="0.25">
      <c r="A5" s="3">
        <v>37712</v>
      </c>
      <c r="B5" s="17">
        <v>2278</v>
      </c>
    </row>
    <row r="6" spans="1:2" x14ac:dyDescent="0.25">
      <c r="A6" s="3">
        <v>37742</v>
      </c>
      <c r="B6" s="17">
        <v>2272</v>
      </c>
    </row>
    <row r="7" spans="1:2" x14ac:dyDescent="0.25">
      <c r="A7" s="3">
        <v>37773</v>
      </c>
      <c r="B7" s="17">
        <v>2275</v>
      </c>
    </row>
    <row r="8" spans="1:2" x14ac:dyDescent="0.25">
      <c r="A8" s="3">
        <v>37803</v>
      </c>
      <c r="B8" s="17">
        <v>2270</v>
      </c>
    </row>
    <row r="9" spans="1:2" x14ac:dyDescent="0.25">
      <c r="A9" s="3">
        <v>37834</v>
      </c>
      <c r="B9" s="17">
        <v>2281</v>
      </c>
    </row>
    <row r="10" spans="1:2" x14ac:dyDescent="0.25">
      <c r="A10" s="3">
        <v>37865</v>
      </c>
      <c r="B10" s="17">
        <v>2273</v>
      </c>
    </row>
    <row r="11" spans="1:2" x14ac:dyDescent="0.25">
      <c r="A11" s="3">
        <v>37895</v>
      </c>
      <c r="B11" s="17">
        <v>2281</v>
      </c>
    </row>
    <row r="12" spans="1:2" x14ac:dyDescent="0.25">
      <c r="A12" s="3">
        <v>37926</v>
      </c>
      <c r="B12" s="17">
        <v>2272</v>
      </c>
    </row>
    <row r="13" spans="1:2" x14ac:dyDescent="0.25">
      <c r="A13" s="3">
        <v>37956</v>
      </c>
      <c r="B13" s="17">
        <v>2274</v>
      </c>
    </row>
    <row r="14" spans="1:2" x14ac:dyDescent="0.25">
      <c r="A14" s="3">
        <v>37987</v>
      </c>
      <c r="B14" s="17">
        <v>2269</v>
      </c>
    </row>
    <row r="15" spans="1:2" x14ac:dyDescent="0.25">
      <c r="A15" s="3">
        <v>38018</v>
      </c>
      <c r="B15" s="17">
        <v>2268</v>
      </c>
    </row>
    <row r="16" spans="1:2" x14ac:dyDescent="0.25">
      <c r="A16" s="3">
        <v>38047</v>
      </c>
      <c r="B16" s="17">
        <v>2268</v>
      </c>
    </row>
    <row r="17" spans="1:2" x14ac:dyDescent="0.25">
      <c r="A17" s="3">
        <v>38078</v>
      </c>
      <c r="B17" s="17">
        <v>2259</v>
      </c>
    </row>
    <row r="18" spans="1:2" x14ac:dyDescent="0.25">
      <c r="A18" s="3">
        <v>38108</v>
      </c>
      <c r="B18" s="17">
        <v>2274</v>
      </c>
    </row>
    <row r="19" spans="1:2" x14ac:dyDescent="0.25">
      <c r="A19" s="3">
        <v>38139</v>
      </c>
      <c r="B19" s="17">
        <v>2285</v>
      </c>
    </row>
    <row r="20" spans="1:2" x14ac:dyDescent="0.25">
      <c r="A20" s="3">
        <v>38169</v>
      </c>
      <c r="B20" s="17">
        <v>2276</v>
      </c>
    </row>
    <row r="21" spans="1:2" x14ac:dyDescent="0.25">
      <c r="A21" s="3">
        <v>38200</v>
      </c>
      <c r="B21" s="17">
        <v>2292</v>
      </c>
    </row>
    <row r="22" spans="1:2" x14ac:dyDescent="0.25">
      <c r="A22" s="3">
        <v>38231</v>
      </c>
      <c r="B22" s="17">
        <v>2285</v>
      </c>
    </row>
    <row r="23" spans="1:2" x14ac:dyDescent="0.25">
      <c r="A23" s="3">
        <v>38261</v>
      </c>
      <c r="B23" s="17">
        <v>2285</v>
      </c>
    </row>
    <row r="24" spans="1:2" x14ac:dyDescent="0.25">
      <c r="A24" s="3">
        <v>38292</v>
      </c>
      <c r="B24" s="17">
        <v>2299</v>
      </c>
    </row>
    <row r="25" spans="1:2" x14ac:dyDescent="0.25">
      <c r="A25" s="3">
        <v>38322</v>
      </c>
      <c r="B25" s="17">
        <v>2287</v>
      </c>
    </row>
    <row r="26" spans="1:2" x14ac:dyDescent="0.25">
      <c r="A26" s="3">
        <v>38353</v>
      </c>
      <c r="B26" s="17">
        <v>2284</v>
      </c>
    </row>
    <row r="27" spans="1:2" x14ac:dyDescent="0.25">
      <c r="A27" s="3">
        <v>38384</v>
      </c>
      <c r="B27" s="17">
        <v>2288</v>
      </c>
    </row>
    <row r="28" spans="1:2" x14ac:dyDescent="0.25">
      <c r="A28" s="3">
        <v>38412</v>
      </c>
      <c r="B28" s="17">
        <v>2287</v>
      </c>
    </row>
    <row r="29" spans="1:2" x14ac:dyDescent="0.25">
      <c r="A29" s="3">
        <v>38443</v>
      </c>
      <c r="B29" s="17">
        <v>2293</v>
      </c>
    </row>
    <row r="30" spans="1:2" x14ac:dyDescent="0.25">
      <c r="A30" s="3">
        <v>38473</v>
      </c>
      <c r="B30" s="17">
        <v>2295</v>
      </c>
    </row>
    <row r="31" spans="1:2" x14ac:dyDescent="0.25">
      <c r="A31" s="3">
        <v>38504</v>
      </c>
      <c r="B31" s="17">
        <v>2286</v>
      </c>
    </row>
    <row r="32" spans="1:2" x14ac:dyDescent="0.25">
      <c r="A32" s="3">
        <v>38534</v>
      </c>
      <c r="B32" s="17">
        <v>2285</v>
      </c>
    </row>
    <row r="33" spans="1:2" x14ac:dyDescent="0.25">
      <c r="A33" s="3">
        <v>38565</v>
      </c>
      <c r="B33" s="17">
        <v>2312</v>
      </c>
    </row>
    <row r="34" spans="1:2" x14ac:dyDescent="0.25">
      <c r="A34" s="3">
        <v>38596</v>
      </c>
      <c r="B34" s="17">
        <v>2286</v>
      </c>
    </row>
    <row r="35" spans="1:2" x14ac:dyDescent="0.25">
      <c r="A35" s="3">
        <v>38626</v>
      </c>
      <c r="B35" s="17">
        <v>2301</v>
      </c>
    </row>
    <row r="36" spans="1:2" x14ac:dyDescent="0.25">
      <c r="A36" s="3">
        <v>38657</v>
      </c>
      <c r="B36" s="17">
        <v>2315</v>
      </c>
    </row>
    <row r="37" spans="1:2" x14ac:dyDescent="0.25">
      <c r="A37" s="3">
        <v>38687</v>
      </c>
      <c r="B37" s="17">
        <v>2300</v>
      </c>
    </row>
    <row r="38" spans="1:2" x14ac:dyDescent="0.25">
      <c r="A38" s="3">
        <v>38718</v>
      </c>
      <c r="B38" s="17">
        <v>2277</v>
      </c>
    </row>
    <row r="39" spans="1:2" x14ac:dyDescent="0.25">
      <c r="A39" s="3">
        <v>38749</v>
      </c>
      <c r="B39" s="17">
        <v>2263</v>
      </c>
    </row>
    <row r="40" spans="1:2" x14ac:dyDescent="0.25">
      <c r="A40" s="3">
        <v>38777</v>
      </c>
      <c r="B40" s="17">
        <v>2280</v>
      </c>
    </row>
    <row r="41" spans="1:2" x14ac:dyDescent="0.25">
      <c r="A41" s="3">
        <v>38808</v>
      </c>
      <c r="B41" s="17">
        <v>2272</v>
      </c>
    </row>
    <row r="42" spans="1:2" x14ac:dyDescent="0.25">
      <c r="A42" s="3">
        <v>38838</v>
      </c>
      <c r="B42" s="17">
        <v>2271</v>
      </c>
    </row>
    <row r="43" spans="1:2" x14ac:dyDescent="0.25">
      <c r="A43" s="3">
        <v>38869</v>
      </c>
      <c r="B43" s="17">
        <v>2289</v>
      </c>
    </row>
    <row r="44" spans="1:2" x14ac:dyDescent="0.25">
      <c r="A44" s="3">
        <v>38899</v>
      </c>
      <c r="B44" s="17">
        <v>2275</v>
      </c>
    </row>
    <row r="45" spans="1:2" x14ac:dyDescent="0.25">
      <c r="A45" s="3">
        <v>38930</v>
      </c>
      <c r="B45" s="17">
        <v>2275</v>
      </c>
    </row>
    <row r="46" spans="1:2" x14ac:dyDescent="0.25">
      <c r="A46" s="3">
        <v>38961</v>
      </c>
      <c r="B46" s="17">
        <v>2287</v>
      </c>
    </row>
    <row r="47" spans="1:2" x14ac:dyDescent="0.25">
      <c r="A47" s="3">
        <v>38991</v>
      </c>
      <c r="B47" s="17">
        <v>2282</v>
      </c>
    </row>
    <row r="48" spans="1:2" x14ac:dyDescent="0.25">
      <c r="A48" s="3">
        <v>39022</v>
      </c>
      <c r="B48" s="17">
        <v>2284</v>
      </c>
    </row>
    <row r="49" spans="1:2" x14ac:dyDescent="0.25">
      <c r="A49" s="3">
        <v>39052</v>
      </c>
      <c r="B49" s="17">
        <v>2293</v>
      </c>
    </row>
    <row r="50" spans="1:2" x14ac:dyDescent="0.25">
      <c r="A50" s="3">
        <v>39083</v>
      </c>
      <c r="B50" s="17">
        <v>2293</v>
      </c>
    </row>
    <row r="51" spans="1:2" x14ac:dyDescent="0.25">
      <c r="A51" s="3">
        <v>39114</v>
      </c>
      <c r="B51" s="17">
        <v>2291</v>
      </c>
    </row>
    <row r="52" spans="1:2" x14ac:dyDescent="0.25">
      <c r="A52" s="3">
        <v>39142</v>
      </c>
      <c r="B52" s="17">
        <v>2290</v>
      </c>
    </row>
    <row r="53" spans="1:2" x14ac:dyDescent="0.25">
      <c r="A53" s="3">
        <v>39173</v>
      </c>
      <c r="B53" s="17">
        <v>2291</v>
      </c>
    </row>
    <row r="54" spans="1:2" x14ac:dyDescent="0.25">
      <c r="A54" s="3">
        <v>39203</v>
      </c>
      <c r="B54" s="17">
        <v>2284</v>
      </c>
    </row>
    <row r="55" spans="1:2" x14ac:dyDescent="0.25">
      <c r="A55" s="3">
        <v>39234</v>
      </c>
      <c r="B55" s="17">
        <v>2292</v>
      </c>
    </row>
    <row r="56" spans="1:2" x14ac:dyDescent="0.25">
      <c r="A56" s="3">
        <v>39264</v>
      </c>
      <c r="B56" s="17">
        <v>2286</v>
      </c>
    </row>
    <row r="57" spans="1:2" x14ac:dyDescent="0.25">
      <c r="A57" s="3">
        <v>39295</v>
      </c>
      <c r="B57" s="17">
        <v>2301</v>
      </c>
    </row>
    <row r="58" spans="1:2" x14ac:dyDescent="0.25">
      <c r="A58" s="3">
        <v>39326</v>
      </c>
      <c r="B58" s="17">
        <v>2294</v>
      </c>
    </row>
    <row r="59" spans="1:2" x14ac:dyDescent="0.25">
      <c r="A59" s="3">
        <v>39356</v>
      </c>
      <c r="B59" s="17">
        <v>2315</v>
      </c>
    </row>
    <row r="60" spans="1:2" x14ac:dyDescent="0.25">
      <c r="A60" s="3">
        <v>39387</v>
      </c>
      <c r="B60" s="17">
        <v>2308</v>
      </c>
    </row>
    <row r="61" spans="1:2" x14ac:dyDescent="0.25">
      <c r="A61" s="3">
        <v>39417</v>
      </c>
      <c r="B61" s="17">
        <v>2310</v>
      </c>
    </row>
    <row r="62" spans="1:2" x14ac:dyDescent="0.25">
      <c r="A62" s="3">
        <v>39448</v>
      </c>
      <c r="B62" s="17">
        <v>2306</v>
      </c>
    </row>
    <row r="63" spans="1:2" x14ac:dyDescent="0.25">
      <c r="A63" s="3">
        <v>39479</v>
      </c>
      <c r="B63" s="17">
        <v>2306</v>
      </c>
    </row>
    <row r="64" spans="1:2" x14ac:dyDescent="0.25">
      <c r="A64" s="3">
        <v>39508</v>
      </c>
      <c r="B64" s="17">
        <v>2302</v>
      </c>
    </row>
    <row r="65" spans="1:29" x14ac:dyDescent="0.25">
      <c r="A65" s="3">
        <v>39539</v>
      </c>
      <c r="B65" s="17">
        <v>2302</v>
      </c>
    </row>
    <row r="66" spans="1:29" x14ac:dyDescent="0.25">
      <c r="A66" s="3">
        <v>39569</v>
      </c>
      <c r="B66" s="17">
        <v>2297</v>
      </c>
    </row>
    <row r="67" spans="1:29" x14ac:dyDescent="0.25">
      <c r="A67" s="3">
        <v>39600</v>
      </c>
      <c r="B67" s="17">
        <v>2314</v>
      </c>
    </row>
    <row r="68" spans="1:29" x14ac:dyDescent="0.25">
      <c r="A68" s="3">
        <v>39630</v>
      </c>
      <c r="B68" s="17">
        <v>2312</v>
      </c>
    </row>
    <row r="69" spans="1:29" x14ac:dyDescent="0.25">
      <c r="A69" s="3">
        <v>39661</v>
      </c>
      <c r="B69" s="17">
        <v>2318</v>
      </c>
    </row>
    <row r="70" spans="1:29" x14ac:dyDescent="0.25">
      <c r="A70" s="3">
        <v>39692</v>
      </c>
      <c r="B70" s="17">
        <v>2314</v>
      </c>
    </row>
    <row r="71" spans="1:29" x14ac:dyDescent="0.25">
      <c r="A71" s="3">
        <v>39722</v>
      </c>
      <c r="B71" s="17">
        <v>2326</v>
      </c>
    </row>
    <row r="72" spans="1:29" x14ac:dyDescent="0.25">
      <c r="A72" s="3">
        <v>39753</v>
      </c>
      <c r="B72" s="17">
        <v>2322</v>
      </c>
    </row>
    <row r="73" spans="1:29" x14ac:dyDescent="0.25">
      <c r="A73" s="3">
        <v>39783</v>
      </c>
      <c r="B73" s="17">
        <v>2302</v>
      </c>
    </row>
    <row r="74" spans="1:29" s="14" customFormat="1" x14ac:dyDescent="0.25">
      <c r="A74" s="3">
        <v>39814</v>
      </c>
      <c r="B74" s="17">
        <v>2298</v>
      </c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</row>
    <row r="75" spans="1:29" x14ac:dyDescent="0.25">
      <c r="A75" s="3">
        <v>39845</v>
      </c>
      <c r="B75" s="17">
        <v>2297</v>
      </c>
    </row>
    <row r="76" spans="1:29" x14ac:dyDescent="0.25">
      <c r="A76" s="3">
        <v>39873</v>
      </c>
      <c r="B76" s="17">
        <v>2305</v>
      </c>
    </row>
    <row r="77" spans="1:29" x14ac:dyDescent="0.25">
      <c r="A77" s="3">
        <v>39904</v>
      </c>
      <c r="B77" s="17">
        <v>2296</v>
      </c>
    </row>
    <row r="78" spans="1:29" x14ac:dyDescent="0.25">
      <c r="A78" s="3">
        <v>39934</v>
      </c>
      <c r="B78" s="17">
        <v>2316</v>
      </c>
    </row>
    <row r="79" spans="1:29" x14ac:dyDescent="0.25">
      <c r="A79" s="3">
        <v>39965</v>
      </c>
      <c r="B79" s="17">
        <v>2299</v>
      </c>
    </row>
    <row r="80" spans="1:29" x14ac:dyDescent="0.25">
      <c r="A80" s="3">
        <v>39995</v>
      </c>
      <c r="B80" s="17">
        <v>2290</v>
      </c>
    </row>
    <row r="81" spans="1:27" x14ac:dyDescent="0.25">
      <c r="A81" s="3">
        <v>40026</v>
      </c>
      <c r="B81" s="17">
        <v>2297</v>
      </c>
    </row>
    <row r="82" spans="1:27" x14ac:dyDescent="0.25">
      <c r="A82" s="3">
        <v>40057</v>
      </c>
      <c r="B82" s="17">
        <v>2303</v>
      </c>
    </row>
    <row r="83" spans="1:27" x14ac:dyDescent="0.25">
      <c r="A83" s="3">
        <v>40087</v>
      </c>
      <c r="B83" s="17">
        <v>2312</v>
      </c>
    </row>
    <row r="84" spans="1:27" x14ac:dyDescent="0.25">
      <c r="A84" s="3">
        <v>40118</v>
      </c>
      <c r="B84" s="17">
        <v>2307</v>
      </c>
    </row>
    <row r="85" spans="1:27" s="30" customFormat="1" x14ac:dyDescent="0.25">
      <c r="A85" s="3">
        <v>40148</v>
      </c>
      <c r="B85" s="17">
        <v>2296</v>
      </c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</row>
    <row r="86" spans="1:27" x14ac:dyDescent="0.25">
      <c r="A86" s="3">
        <v>40179</v>
      </c>
      <c r="B86" s="17">
        <v>2301</v>
      </c>
    </row>
    <row r="87" spans="1:27" x14ac:dyDescent="0.25">
      <c r="A87" s="3">
        <v>40210</v>
      </c>
      <c r="B87" s="17">
        <v>2304</v>
      </c>
    </row>
    <row r="88" spans="1:27" x14ac:dyDescent="0.25">
      <c r="A88" s="3">
        <v>40238</v>
      </c>
      <c r="B88" s="17">
        <v>2291</v>
      </c>
    </row>
    <row r="89" spans="1:27" x14ac:dyDescent="0.25">
      <c r="A89" s="3">
        <v>40269</v>
      </c>
      <c r="B89" s="17">
        <v>2297</v>
      </c>
    </row>
    <row r="90" spans="1:27" x14ac:dyDescent="0.25">
      <c r="A90" s="3">
        <v>40299</v>
      </c>
      <c r="B90" s="17">
        <v>2297</v>
      </c>
    </row>
    <row r="91" spans="1:27" x14ac:dyDescent="0.25">
      <c r="A91" s="3">
        <v>40330</v>
      </c>
      <c r="B91" s="17">
        <v>2296</v>
      </c>
    </row>
    <row r="92" spans="1:27" x14ac:dyDescent="0.25">
      <c r="A92" s="3">
        <v>40360</v>
      </c>
      <c r="B92" s="17">
        <v>2302</v>
      </c>
    </row>
    <row r="93" spans="1:27" x14ac:dyDescent="0.25">
      <c r="A93" s="3">
        <v>40391</v>
      </c>
      <c r="B93" s="17">
        <v>2312</v>
      </c>
    </row>
    <row r="94" spans="1:27" x14ac:dyDescent="0.25">
      <c r="A94" s="3">
        <v>40422</v>
      </c>
      <c r="B94" s="17">
        <v>2310</v>
      </c>
    </row>
    <row r="95" spans="1:27" x14ac:dyDescent="0.25">
      <c r="A95" s="3">
        <v>40452</v>
      </c>
      <c r="B95" s="17">
        <v>2298</v>
      </c>
    </row>
    <row r="96" spans="1:27" x14ac:dyDescent="0.25">
      <c r="A96" s="3">
        <v>40483</v>
      </c>
      <c r="B96" s="17">
        <v>2316</v>
      </c>
    </row>
    <row r="97" spans="1:2" x14ac:dyDescent="0.25">
      <c r="A97" s="3">
        <v>40513</v>
      </c>
      <c r="B97" s="17">
        <v>2309</v>
      </c>
    </row>
    <row r="98" spans="1:2" x14ac:dyDescent="0.25">
      <c r="A98" s="3">
        <v>40544</v>
      </c>
      <c r="B98" s="17">
        <v>2312</v>
      </c>
    </row>
    <row r="99" spans="1:2" x14ac:dyDescent="0.25">
      <c r="A99" s="3">
        <v>40575</v>
      </c>
      <c r="B99" s="17">
        <v>2302</v>
      </c>
    </row>
    <row r="100" spans="1:2" x14ac:dyDescent="0.25">
      <c r="A100" s="3">
        <v>40603</v>
      </c>
      <c r="B100" s="17">
        <v>2306</v>
      </c>
    </row>
    <row r="101" spans="1:2" x14ac:dyDescent="0.25">
      <c r="A101" s="3">
        <v>40634</v>
      </c>
      <c r="B101" s="17">
        <v>2310</v>
      </c>
    </row>
    <row r="102" spans="1:2" x14ac:dyDescent="0.25">
      <c r="A102" s="3">
        <v>40664</v>
      </c>
      <c r="B102" s="17">
        <v>2310</v>
      </c>
    </row>
    <row r="103" spans="1:2" x14ac:dyDescent="0.25">
      <c r="A103" s="3">
        <v>40695</v>
      </c>
      <c r="B103" s="17">
        <v>2307</v>
      </c>
    </row>
    <row r="104" spans="1:2" x14ac:dyDescent="0.25">
      <c r="A104" s="3">
        <v>40725</v>
      </c>
      <c r="B104" s="17">
        <v>2307</v>
      </c>
    </row>
    <row r="105" spans="1:2" x14ac:dyDescent="0.25">
      <c r="A105" s="3">
        <v>40756</v>
      </c>
      <c r="B105" s="17">
        <v>2310</v>
      </c>
    </row>
    <row r="106" spans="1:2" x14ac:dyDescent="0.25">
      <c r="A106" s="3">
        <v>40787</v>
      </c>
      <c r="B106" s="17">
        <v>2312</v>
      </c>
    </row>
    <row r="107" spans="1:2" x14ac:dyDescent="0.25">
      <c r="A107" s="3">
        <v>40817</v>
      </c>
      <c r="B107" s="17">
        <v>2346</v>
      </c>
    </row>
    <row r="108" spans="1:2" x14ac:dyDescent="0.25">
      <c r="A108" s="3">
        <v>40848</v>
      </c>
      <c r="B108" s="17">
        <v>2310</v>
      </c>
    </row>
    <row r="109" spans="1:2" x14ac:dyDescent="0.25">
      <c r="A109" s="3">
        <v>40878</v>
      </c>
      <c r="B109" s="17">
        <v>2324</v>
      </c>
    </row>
    <row r="110" spans="1:2" x14ac:dyDescent="0.25">
      <c r="A110" s="3">
        <v>40909</v>
      </c>
      <c r="B110" s="17">
        <v>2318</v>
      </c>
    </row>
    <row r="111" spans="1:2" x14ac:dyDescent="0.25">
      <c r="A111" s="3">
        <v>40940</v>
      </c>
      <c r="B111" s="17">
        <v>2304</v>
      </c>
    </row>
    <row r="112" spans="1:2" x14ac:dyDescent="0.25">
      <c r="A112" s="3">
        <v>40969</v>
      </c>
      <c r="B112" s="17">
        <v>2311</v>
      </c>
    </row>
    <row r="113" spans="1:2" x14ac:dyDescent="0.25">
      <c r="A113" s="3">
        <v>41000</v>
      </c>
      <c r="B113" s="17">
        <v>2303</v>
      </c>
    </row>
    <row r="114" spans="1:2" x14ac:dyDescent="0.25">
      <c r="A114" s="3">
        <v>41030</v>
      </c>
      <c r="B114" s="17">
        <v>2311</v>
      </c>
    </row>
    <row r="115" spans="1:2" x14ac:dyDescent="0.25">
      <c r="A115" s="3">
        <v>41061</v>
      </c>
      <c r="B115" s="17">
        <v>2314</v>
      </c>
    </row>
    <row r="116" spans="1:2" x14ac:dyDescent="0.25">
      <c r="A116" s="3">
        <v>41091</v>
      </c>
      <c r="B116" s="17">
        <v>2317</v>
      </c>
    </row>
    <row r="117" spans="1:2" x14ac:dyDescent="0.25">
      <c r="A117" s="3">
        <v>41122</v>
      </c>
      <c r="B117" s="17">
        <v>2335</v>
      </c>
    </row>
    <row r="118" spans="1:2" x14ac:dyDescent="0.25">
      <c r="A118" s="3">
        <v>41153</v>
      </c>
      <c r="B118" s="17">
        <v>2328</v>
      </c>
    </row>
    <row r="119" spans="1:2" x14ac:dyDescent="0.25">
      <c r="A119" s="3">
        <v>41183</v>
      </c>
      <c r="B119" s="17">
        <v>2320</v>
      </c>
    </row>
    <row r="120" spans="1:2" x14ac:dyDescent="0.25">
      <c r="A120" s="3">
        <v>41214</v>
      </c>
      <c r="B120" s="17">
        <v>2322</v>
      </c>
    </row>
    <row r="121" spans="1:2" x14ac:dyDescent="0.25">
      <c r="A121" s="3">
        <v>41244</v>
      </c>
      <c r="B121" s="17">
        <v>2312</v>
      </c>
    </row>
    <row r="122" spans="1:2" x14ac:dyDescent="0.25">
      <c r="A122" s="3">
        <v>41275</v>
      </c>
      <c r="B122" s="17">
        <v>2317</v>
      </c>
    </row>
    <row r="123" spans="1:2" x14ac:dyDescent="0.25">
      <c r="A123" s="3">
        <v>41306</v>
      </c>
      <c r="B123" s="17">
        <v>2316</v>
      </c>
    </row>
    <row r="124" spans="1:2" x14ac:dyDescent="0.25">
      <c r="A124" s="3">
        <v>41334</v>
      </c>
      <c r="B124" s="17">
        <v>2315</v>
      </c>
    </row>
    <row r="125" spans="1:2" x14ac:dyDescent="0.25">
      <c r="A125" s="3">
        <v>41365</v>
      </c>
      <c r="B125" s="17">
        <v>2315</v>
      </c>
    </row>
    <row r="126" spans="1:2" x14ac:dyDescent="0.25">
      <c r="A126" s="3">
        <v>41395</v>
      </c>
      <c r="B126" s="17">
        <v>2322</v>
      </c>
    </row>
    <row r="127" spans="1:2" x14ac:dyDescent="0.25">
      <c r="A127" s="3">
        <v>41426</v>
      </c>
      <c r="B127" s="17">
        <v>2317</v>
      </c>
    </row>
    <row r="128" spans="1:2" x14ac:dyDescent="0.25">
      <c r="A128" s="3">
        <v>41456</v>
      </c>
      <c r="B128" s="17">
        <v>2309</v>
      </c>
    </row>
    <row r="129" spans="1:2" x14ac:dyDescent="0.25">
      <c r="A129" s="3">
        <v>41487</v>
      </c>
      <c r="B129" s="17">
        <v>2332</v>
      </c>
    </row>
    <row r="130" spans="1:2" x14ac:dyDescent="0.25">
      <c r="A130" s="3">
        <v>41518</v>
      </c>
      <c r="B130" s="17">
        <v>2328</v>
      </c>
    </row>
    <row r="131" spans="1:2" x14ac:dyDescent="0.25">
      <c r="A131" s="3">
        <v>41548</v>
      </c>
      <c r="B131" s="17">
        <v>2320</v>
      </c>
    </row>
    <row r="132" spans="1:2" x14ac:dyDescent="0.25">
      <c r="A132" s="3">
        <v>41579</v>
      </c>
      <c r="B132" s="17">
        <v>2328</v>
      </c>
    </row>
    <row r="133" spans="1:2" x14ac:dyDescent="0.25">
      <c r="A133" s="3">
        <v>41609</v>
      </c>
      <c r="B133" s="17">
        <v>2324</v>
      </c>
    </row>
    <row r="134" spans="1:2" x14ac:dyDescent="0.25">
      <c r="A134" s="3">
        <v>41640</v>
      </c>
      <c r="B134" s="17">
        <v>2328</v>
      </c>
    </row>
    <row r="135" spans="1:2" x14ac:dyDescent="0.25">
      <c r="A135" s="3">
        <v>41671</v>
      </c>
      <c r="B135" s="17">
        <v>2320</v>
      </c>
    </row>
    <row r="136" spans="1:2" x14ac:dyDescent="0.25">
      <c r="A136" s="3">
        <v>41699</v>
      </c>
      <c r="B136" s="17">
        <v>2325</v>
      </c>
    </row>
    <row r="137" spans="1:2" x14ac:dyDescent="0.25">
      <c r="A137" s="3">
        <v>41730</v>
      </c>
      <c r="B137" s="17">
        <v>2314</v>
      </c>
    </row>
    <row r="138" spans="1:2" x14ac:dyDescent="0.25">
      <c r="A138" s="3">
        <v>41760</v>
      </c>
      <c r="B138" s="17">
        <v>2312</v>
      </c>
    </row>
    <row r="139" spans="1:2" x14ac:dyDescent="0.25">
      <c r="A139" s="3">
        <v>41791</v>
      </c>
      <c r="B139" s="17">
        <v>2313</v>
      </c>
    </row>
    <row r="140" spans="1:2" x14ac:dyDescent="0.25">
      <c r="A140" s="3">
        <v>41821</v>
      </c>
      <c r="B140" s="17">
        <v>2328</v>
      </c>
    </row>
    <row r="141" spans="1:2" x14ac:dyDescent="0.25">
      <c r="A141" s="3">
        <v>41852</v>
      </c>
      <c r="B141" s="17">
        <v>2350</v>
      </c>
    </row>
    <row r="142" spans="1:2" x14ac:dyDescent="0.25">
      <c r="A142" s="3">
        <v>41883</v>
      </c>
      <c r="B142" s="17">
        <v>2350</v>
      </c>
    </row>
    <row r="143" spans="1:2" x14ac:dyDescent="0.25">
      <c r="A143" s="3">
        <v>41913</v>
      </c>
      <c r="B143" s="17">
        <v>2336</v>
      </c>
    </row>
    <row r="144" spans="1:2" x14ac:dyDescent="0.25">
      <c r="A144" s="3">
        <v>41944</v>
      </c>
      <c r="B144" s="17">
        <v>2347</v>
      </c>
    </row>
    <row r="145" spans="1:2" x14ac:dyDescent="0.25">
      <c r="A145" s="3">
        <v>41974</v>
      </c>
      <c r="B145" s="17">
        <v>2335</v>
      </c>
    </row>
    <row r="146" spans="1:2" x14ac:dyDescent="0.25">
      <c r="A146" s="3">
        <v>42005</v>
      </c>
      <c r="B146" s="17">
        <v>2319</v>
      </c>
    </row>
    <row r="147" spans="1:2" x14ac:dyDescent="0.25">
      <c r="A147" s="3">
        <v>42036</v>
      </c>
      <c r="B147" s="17">
        <v>2322</v>
      </c>
    </row>
    <row r="148" spans="1:2" x14ac:dyDescent="0.25">
      <c r="A148" s="3">
        <v>42064</v>
      </c>
      <c r="B148" s="17">
        <v>2320</v>
      </c>
    </row>
    <row r="149" spans="1:2" x14ac:dyDescent="0.25">
      <c r="A149" s="3">
        <v>42095</v>
      </c>
      <c r="B149" s="17">
        <v>2323</v>
      </c>
    </row>
    <row r="150" spans="1:2" x14ac:dyDescent="0.25">
      <c r="A150" s="3">
        <v>42125</v>
      </c>
      <c r="B150" s="17">
        <v>2330</v>
      </c>
    </row>
    <row r="151" spans="1:2" x14ac:dyDescent="0.25">
      <c r="A151" s="3">
        <v>42156</v>
      </c>
      <c r="B151" s="17">
        <v>2312</v>
      </c>
    </row>
    <row r="152" spans="1:2" x14ac:dyDescent="0.25">
      <c r="A152" s="3">
        <v>42186</v>
      </c>
      <c r="B152" s="17">
        <v>2338</v>
      </c>
    </row>
    <row r="153" spans="1:2" x14ac:dyDescent="0.25">
      <c r="A153" s="3">
        <v>42217</v>
      </c>
      <c r="B153" s="17">
        <v>2337</v>
      </c>
    </row>
    <row r="154" spans="1:2" x14ac:dyDescent="0.25">
      <c r="A154" s="3">
        <v>42248</v>
      </c>
      <c r="B154" s="17">
        <v>2331</v>
      </c>
    </row>
    <row r="155" spans="1:2" x14ac:dyDescent="0.25">
      <c r="A155" s="3">
        <v>42278</v>
      </c>
      <c r="B155" s="17">
        <v>2341</v>
      </c>
    </row>
    <row r="156" spans="1:2" x14ac:dyDescent="0.25">
      <c r="A156" s="3">
        <v>42309</v>
      </c>
      <c r="B156" s="17">
        <v>2345</v>
      </c>
    </row>
    <row r="157" spans="1:2" x14ac:dyDescent="0.25">
      <c r="A157" s="3">
        <v>42339</v>
      </c>
      <c r="B157" s="17">
        <v>2339</v>
      </c>
    </row>
    <row r="158" spans="1:2" x14ac:dyDescent="0.25">
      <c r="A158" s="3">
        <v>42370</v>
      </c>
      <c r="B158" s="17">
        <v>2335</v>
      </c>
    </row>
    <row r="159" spans="1:2" x14ac:dyDescent="0.25">
      <c r="A159" s="3">
        <v>42401</v>
      </c>
      <c r="B159" s="17">
        <v>2341</v>
      </c>
    </row>
    <row r="160" spans="1:2" x14ac:dyDescent="0.25">
      <c r="A160" s="3">
        <v>42430</v>
      </c>
      <c r="B160" s="17">
        <v>2339</v>
      </c>
    </row>
    <row r="161" spans="1:2" x14ac:dyDescent="0.25">
      <c r="A161" s="3">
        <v>42461</v>
      </c>
      <c r="B161" s="17">
        <v>2346</v>
      </c>
    </row>
    <row r="162" spans="1:2" x14ac:dyDescent="0.25">
      <c r="A162" s="3">
        <v>42491</v>
      </c>
      <c r="B162" s="17">
        <v>2349</v>
      </c>
    </row>
    <row r="163" spans="1:2" x14ac:dyDescent="0.25">
      <c r="A163" s="3">
        <v>42522</v>
      </c>
      <c r="B163" s="17">
        <v>2348</v>
      </c>
    </row>
    <row r="164" spans="1:2" x14ac:dyDescent="0.25">
      <c r="A164" s="3">
        <v>42552</v>
      </c>
      <c r="B164" s="17">
        <v>2348</v>
      </c>
    </row>
    <row r="165" spans="1:2" x14ac:dyDescent="0.25">
      <c r="A165" s="3">
        <v>42583</v>
      </c>
      <c r="B165" s="17">
        <v>2363</v>
      </c>
    </row>
    <row r="166" spans="1:2" x14ac:dyDescent="0.25">
      <c r="A166" s="3">
        <v>42614</v>
      </c>
      <c r="B166" s="17">
        <v>2350</v>
      </c>
    </row>
    <row r="167" spans="1:2" x14ac:dyDescent="0.25">
      <c r="A167" s="3">
        <v>42644</v>
      </c>
      <c r="B167" s="17">
        <v>2354</v>
      </c>
    </row>
    <row r="168" spans="1:2" x14ac:dyDescent="0.25">
      <c r="A168" s="3">
        <v>42675</v>
      </c>
      <c r="B168" s="17">
        <v>2357</v>
      </c>
    </row>
    <row r="169" spans="1:2" x14ac:dyDescent="0.25">
      <c r="A169" s="3">
        <v>42705</v>
      </c>
      <c r="B169" s="17">
        <v>2350</v>
      </c>
    </row>
    <row r="170" spans="1:2" x14ac:dyDescent="0.25">
      <c r="B170"/>
    </row>
    <row r="171" spans="1:2" x14ac:dyDescent="0.25">
      <c r="B171"/>
    </row>
    <row r="172" spans="1:2" x14ac:dyDescent="0.25">
      <c r="B172"/>
    </row>
    <row r="173" spans="1:2" x14ac:dyDescent="0.25">
      <c r="B173"/>
    </row>
    <row r="174" spans="1:2" x14ac:dyDescent="0.25">
      <c r="B174"/>
    </row>
    <row r="175" spans="1:2" x14ac:dyDescent="0.25">
      <c r="B175"/>
    </row>
    <row r="176" spans="1:2" x14ac:dyDescent="0.25">
      <c r="B176"/>
    </row>
    <row r="177" spans="2:2" x14ac:dyDescent="0.25">
      <c r="B177"/>
    </row>
    <row r="178" spans="2:2" x14ac:dyDescent="0.25">
      <c r="B178"/>
    </row>
    <row r="179" spans="2:2" x14ac:dyDescent="0.25">
      <c r="B179"/>
    </row>
    <row r="180" spans="2:2" x14ac:dyDescent="0.25">
      <c r="B180"/>
    </row>
    <row r="181" spans="2:2" x14ac:dyDescent="0.25">
      <c r="B181"/>
    </row>
    <row r="182" spans="2:2" x14ac:dyDescent="0.25">
      <c r="B182"/>
    </row>
    <row r="183" spans="2:2" x14ac:dyDescent="0.25">
      <c r="B183"/>
    </row>
    <row r="184" spans="2:2" x14ac:dyDescent="0.25">
      <c r="B184"/>
    </row>
    <row r="185" spans="2:2" x14ac:dyDescent="0.25">
      <c r="B185"/>
    </row>
    <row r="186" spans="2:2" x14ac:dyDescent="0.25">
      <c r="B186"/>
    </row>
    <row r="187" spans="2:2" x14ac:dyDescent="0.25">
      <c r="B187"/>
    </row>
    <row r="188" spans="2:2" x14ac:dyDescent="0.25">
      <c r="B188"/>
    </row>
    <row r="189" spans="2:2" x14ac:dyDescent="0.25">
      <c r="B189"/>
    </row>
    <row r="190" spans="2:2" x14ac:dyDescent="0.25">
      <c r="B190"/>
    </row>
    <row r="191" spans="2:2" x14ac:dyDescent="0.25">
      <c r="B191"/>
    </row>
    <row r="192" spans="2:2" x14ac:dyDescent="0.25">
      <c r="B192"/>
    </row>
    <row r="193" spans="2:2" x14ac:dyDescent="0.25">
      <c r="B193"/>
    </row>
    <row r="194" spans="2:2" x14ac:dyDescent="0.25">
      <c r="B194"/>
    </row>
    <row r="195" spans="2:2" x14ac:dyDescent="0.25">
      <c r="B195"/>
    </row>
    <row r="196" spans="2:2" x14ac:dyDescent="0.25">
      <c r="B196"/>
    </row>
    <row r="197" spans="2:2" x14ac:dyDescent="0.25">
      <c r="B197"/>
    </row>
    <row r="198" spans="2:2" x14ac:dyDescent="0.25">
      <c r="B198"/>
    </row>
    <row r="199" spans="2:2" x14ac:dyDescent="0.25">
      <c r="B199"/>
    </row>
    <row r="200" spans="2:2" x14ac:dyDescent="0.25">
      <c r="B200"/>
    </row>
    <row r="201" spans="2:2" x14ac:dyDescent="0.25">
      <c r="B201"/>
    </row>
    <row r="202" spans="2:2" x14ac:dyDescent="0.25">
      <c r="B202"/>
    </row>
    <row r="203" spans="2:2" x14ac:dyDescent="0.25">
      <c r="B203"/>
    </row>
    <row r="204" spans="2:2" x14ac:dyDescent="0.25">
      <c r="B204"/>
    </row>
    <row r="205" spans="2:2" x14ac:dyDescent="0.25">
      <c r="B205"/>
    </row>
    <row r="206" spans="2:2" x14ac:dyDescent="0.25">
      <c r="B206"/>
    </row>
    <row r="207" spans="2:2" x14ac:dyDescent="0.25">
      <c r="B207"/>
    </row>
    <row r="208" spans="2:2" x14ac:dyDescent="0.25">
      <c r="B208"/>
    </row>
    <row r="209" spans="2:2" x14ac:dyDescent="0.25">
      <c r="B209"/>
    </row>
    <row r="210" spans="2:2" x14ac:dyDescent="0.25">
      <c r="B210"/>
    </row>
    <row r="211" spans="2:2" x14ac:dyDescent="0.25">
      <c r="B211"/>
    </row>
    <row r="212" spans="2:2" x14ac:dyDescent="0.25">
      <c r="B212"/>
    </row>
    <row r="213" spans="2:2" x14ac:dyDescent="0.25">
      <c r="B213"/>
    </row>
  </sheetData>
  <phoneticPr fontId="0" type="noConversion"/>
  <pageMargins left="0.38" right="0.75" top="0.73" bottom="0.74" header="0.5" footer="0.5"/>
  <pageSetup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13"/>
  <sheetViews>
    <sheetView topLeftCell="A158" workbookViewId="0">
      <selection activeCell="A170" sqref="A170:XFD213"/>
    </sheetView>
  </sheetViews>
  <sheetFormatPr defaultRowHeight="12.5" x14ac:dyDescent="0.25"/>
  <cols>
    <col min="1" max="1" width="11.81640625" customWidth="1"/>
    <col min="2" max="2" width="12.453125" style="1" customWidth="1"/>
    <col min="3" max="3" width="15.453125" bestFit="1" customWidth="1"/>
    <col min="4" max="4" width="17" customWidth="1"/>
    <col min="5" max="5" width="12.453125" customWidth="1"/>
    <col min="6" max="6" width="25.81640625" bestFit="1" customWidth="1"/>
    <col min="7" max="9" width="18" customWidth="1"/>
    <col min="10" max="10" width="17.1796875" customWidth="1"/>
    <col min="11" max="12" width="15.7265625" customWidth="1"/>
    <col min="13" max="13" width="15" customWidth="1"/>
    <col min="14" max="15" width="14.1796875" bestFit="1" customWidth="1"/>
    <col min="16" max="16" width="11.7265625" bestFit="1" customWidth="1"/>
    <col min="17" max="17" width="11.81640625" bestFit="1" customWidth="1"/>
    <col min="18" max="18" width="12.54296875" customWidth="1"/>
    <col min="19" max="19" width="11.26953125" customWidth="1"/>
    <col min="20" max="20" width="11.54296875" customWidth="1"/>
    <col min="21" max="21" width="18.453125" bestFit="1" customWidth="1"/>
    <col min="23" max="23" width="11.7265625" bestFit="1" customWidth="1"/>
    <col min="24" max="24" width="10.7265625" bestFit="1" customWidth="1"/>
  </cols>
  <sheetData>
    <row r="1" spans="1:2" ht="42" customHeight="1" x14ac:dyDescent="0.25">
      <c r="B1" s="63" t="s">
        <v>60</v>
      </c>
    </row>
    <row r="2" spans="1:2" x14ac:dyDescent="0.25">
      <c r="A2" s="3">
        <v>37622</v>
      </c>
      <c r="B2" s="17">
        <v>419</v>
      </c>
    </row>
    <row r="3" spans="1:2" x14ac:dyDescent="0.25">
      <c r="A3" s="3">
        <v>37653</v>
      </c>
      <c r="B3" s="17">
        <v>419</v>
      </c>
    </row>
    <row r="4" spans="1:2" x14ac:dyDescent="0.25">
      <c r="A4" s="3">
        <v>37681</v>
      </c>
      <c r="B4" s="17">
        <v>419</v>
      </c>
    </row>
    <row r="5" spans="1:2" x14ac:dyDescent="0.25">
      <c r="A5" s="3">
        <v>37712</v>
      </c>
      <c r="B5" s="17">
        <v>420</v>
      </c>
    </row>
    <row r="6" spans="1:2" x14ac:dyDescent="0.25">
      <c r="A6" s="3">
        <v>37742</v>
      </c>
      <c r="B6" s="17">
        <v>423</v>
      </c>
    </row>
    <row r="7" spans="1:2" x14ac:dyDescent="0.25">
      <c r="A7" s="3">
        <v>37773</v>
      </c>
      <c r="B7" s="17">
        <v>421</v>
      </c>
    </row>
    <row r="8" spans="1:2" x14ac:dyDescent="0.25">
      <c r="A8" s="3">
        <v>37803</v>
      </c>
      <c r="B8" s="17">
        <v>419</v>
      </c>
    </row>
    <row r="9" spans="1:2" x14ac:dyDescent="0.25">
      <c r="A9" s="3">
        <v>37834</v>
      </c>
      <c r="B9" s="17">
        <v>422</v>
      </c>
    </row>
    <row r="10" spans="1:2" x14ac:dyDescent="0.25">
      <c r="A10" s="3">
        <v>37865</v>
      </c>
      <c r="B10" s="17">
        <v>423</v>
      </c>
    </row>
    <row r="11" spans="1:2" x14ac:dyDescent="0.25">
      <c r="A11" s="3">
        <v>37895</v>
      </c>
      <c r="B11" s="17">
        <v>430</v>
      </c>
    </row>
    <row r="12" spans="1:2" x14ac:dyDescent="0.25">
      <c r="A12" s="3">
        <v>37926</v>
      </c>
      <c r="B12" s="17">
        <v>427</v>
      </c>
    </row>
    <row r="13" spans="1:2" x14ac:dyDescent="0.25">
      <c r="A13" s="3">
        <v>37956</v>
      </c>
      <c r="B13" s="17">
        <v>429</v>
      </c>
    </row>
    <row r="14" spans="1:2" x14ac:dyDescent="0.25">
      <c r="A14" s="3">
        <v>37987</v>
      </c>
      <c r="B14" s="17">
        <v>431</v>
      </c>
    </row>
    <row r="15" spans="1:2" x14ac:dyDescent="0.25">
      <c r="A15" s="3">
        <v>38018</v>
      </c>
      <c r="B15" s="17">
        <v>429</v>
      </c>
    </row>
    <row r="16" spans="1:2" x14ac:dyDescent="0.25">
      <c r="A16" s="3">
        <v>38047</v>
      </c>
      <c r="B16" s="17">
        <v>429</v>
      </c>
    </row>
    <row r="17" spans="1:2" x14ac:dyDescent="0.25">
      <c r="A17" s="3">
        <v>38078</v>
      </c>
      <c r="B17" s="17">
        <v>427</v>
      </c>
    </row>
    <row r="18" spans="1:2" x14ac:dyDescent="0.25">
      <c r="A18" s="3">
        <v>38108</v>
      </c>
      <c r="B18" s="17">
        <v>427</v>
      </c>
    </row>
    <row r="19" spans="1:2" x14ac:dyDescent="0.25">
      <c r="A19" s="3">
        <v>38139</v>
      </c>
      <c r="B19" s="17">
        <v>428</v>
      </c>
    </row>
    <row r="20" spans="1:2" x14ac:dyDescent="0.25">
      <c r="A20" s="3">
        <v>38169</v>
      </c>
      <c r="B20" s="17">
        <v>426</v>
      </c>
    </row>
    <row r="21" spans="1:2" x14ac:dyDescent="0.25">
      <c r="A21" s="3">
        <v>38200</v>
      </c>
      <c r="B21" s="17">
        <v>423</v>
      </c>
    </row>
    <row r="22" spans="1:2" x14ac:dyDescent="0.25">
      <c r="A22" s="3">
        <v>38231</v>
      </c>
      <c r="B22" s="17">
        <v>427</v>
      </c>
    </row>
    <row r="23" spans="1:2" x14ac:dyDescent="0.25">
      <c r="A23" s="3">
        <v>38261</v>
      </c>
      <c r="B23" s="17">
        <v>424</v>
      </c>
    </row>
    <row r="24" spans="1:2" x14ac:dyDescent="0.25">
      <c r="A24" s="3">
        <v>38292</v>
      </c>
      <c r="B24" s="17">
        <v>426</v>
      </c>
    </row>
    <row r="25" spans="1:2" x14ac:dyDescent="0.25">
      <c r="A25" s="3">
        <v>38322</v>
      </c>
      <c r="B25" s="17">
        <v>426</v>
      </c>
    </row>
    <row r="26" spans="1:2" x14ac:dyDescent="0.25">
      <c r="A26" s="3">
        <v>38353</v>
      </c>
      <c r="B26" s="17">
        <v>425</v>
      </c>
    </row>
    <row r="27" spans="1:2" x14ac:dyDescent="0.25">
      <c r="A27" s="3">
        <v>38384</v>
      </c>
      <c r="B27" s="17">
        <v>425</v>
      </c>
    </row>
    <row r="28" spans="1:2" x14ac:dyDescent="0.25">
      <c r="A28" s="3">
        <v>38412</v>
      </c>
      <c r="B28" s="17">
        <v>424</v>
      </c>
    </row>
    <row r="29" spans="1:2" x14ac:dyDescent="0.25">
      <c r="A29" s="3">
        <v>38443</v>
      </c>
      <c r="B29" s="17">
        <v>426</v>
      </c>
    </row>
    <row r="30" spans="1:2" x14ac:dyDescent="0.25">
      <c r="A30" s="3">
        <v>38473</v>
      </c>
      <c r="B30" s="17">
        <v>424</v>
      </c>
    </row>
    <row r="31" spans="1:2" x14ac:dyDescent="0.25">
      <c r="A31" s="3">
        <v>38504</v>
      </c>
      <c r="B31" s="17">
        <v>427</v>
      </c>
    </row>
    <row r="32" spans="1:2" x14ac:dyDescent="0.25">
      <c r="A32" s="3">
        <v>38534</v>
      </c>
      <c r="B32" s="17">
        <v>425</v>
      </c>
    </row>
    <row r="33" spans="1:2" x14ac:dyDescent="0.25">
      <c r="A33" s="3">
        <v>38565</v>
      </c>
      <c r="B33" s="17">
        <v>425</v>
      </c>
    </row>
    <row r="34" spans="1:2" x14ac:dyDescent="0.25">
      <c r="A34" s="3">
        <v>38596</v>
      </c>
      <c r="B34" s="17">
        <v>427</v>
      </c>
    </row>
    <row r="35" spans="1:2" x14ac:dyDescent="0.25">
      <c r="A35" s="3">
        <v>38626</v>
      </c>
      <c r="B35" s="17">
        <v>426</v>
      </c>
    </row>
    <row r="36" spans="1:2" x14ac:dyDescent="0.25">
      <c r="A36" s="3">
        <v>38657</v>
      </c>
      <c r="B36" s="17">
        <v>425</v>
      </c>
    </row>
    <row r="37" spans="1:2" x14ac:dyDescent="0.25">
      <c r="A37" s="3">
        <v>38687</v>
      </c>
      <c r="B37" s="17">
        <v>423</v>
      </c>
    </row>
    <row r="38" spans="1:2" x14ac:dyDescent="0.25">
      <c r="A38" s="3">
        <v>38718</v>
      </c>
      <c r="B38" s="17">
        <v>423</v>
      </c>
    </row>
    <row r="39" spans="1:2" x14ac:dyDescent="0.25">
      <c r="A39" s="3">
        <v>38749</v>
      </c>
      <c r="B39" s="17">
        <v>435</v>
      </c>
    </row>
    <row r="40" spans="1:2" x14ac:dyDescent="0.25">
      <c r="A40" s="3">
        <v>38777</v>
      </c>
      <c r="B40" s="17">
        <v>411</v>
      </c>
    </row>
    <row r="41" spans="1:2" x14ac:dyDescent="0.25">
      <c r="A41" s="3">
        <v>38808</v>
      </c>
      <c r="B41" s="17">
        <v>412</v>
      </c>
    </row>
    <row r="42" spans="1:2" x14ac:dyDescent="0.25">
      <c r="A42" s="3">
        <v>38838</v>
      </c>
      <c r="B42" s="17">
        <v>413</v>
      </c>
    </row>
    <row r="43" spans="1:2" x14ac:dyDescent="0.25">
      <c r="A43" s="3">
        <v>38869</v>
      </c>
      <c r="B43" s="17">
        <v>403</v>
      </c>
    </row>
    <row r="44" spans="1:2" x14ac:dyDescent="0.25">
      <c r="A44" s="3">
        <v>38899</v>
      </c>
      <c r="B44" s="17">
        <v>401</v>
      </c>
    </row>
    <row r="45" spans="1:2" x14ac:dyDescent="0.25">
      <c r="A45" s="3">
        <v>38930</v>
      </c>
      <c r="B45" s="17">
        <v>400</v>
      </c>
    </row>
    <row r="46" spans="1:2" x14ac:dyDescent="0.25">
      <c r="A46" s="3">
        <v>38961</v>
      </c>
      <c r="B46" s="17">
        <v>398</v>
      </c>
    </row>
    <row r="47" spans="1:2" x14ac:dyDescent="0.25">
      <c r="A47" s="3">
        <v>38991</v>
      </c>
      <c r="B47" s="17">
        <v>397</v>
      </c>
    </row>
    <row r="48" spans="1:2" x14ac:dyDescent="0.25">
      <c r="A48" s="3">
        <v>39022</v>
      </c>
      <c r="B48" s="17">
        <v>397</v>
      </c>
    </row>
    <row r="49" spans="1:2" x14ac:dyDescent="0.25">
      <c r="A49" s="3">
        <v>39052</v>
      </c>
      <c r="B49" s="17">
        <v>399</v>
      </c>
    </row>
    <row r="50" spans="1:2" x14ac:dyDescent="0.25">
      <c r="A50" s="3">
        <v>39083</v>
      </c>
      <c r="B50" s="17">
        <v>396</v>
      </c>
    </row>
    <row r="51" spans="1:2" x14ac:dyDescent="0.25">
      <c r="A51" s="3">
        <v>39114</v>
      </c>
      <c r="B51" s="17">
        <v>396</v>
      </c>
    </row>
    <row r="52" spans="1:2" x14ac:dyDescent="0.25">
      <c r="A52" s="3">
        <v>39142</v>
      </c>
      <c r="B52" s="17">
        <v>396</v>
      </c>
    </row>
    <row r="53" spans="1:2" x14ac:dyDescent="0.25">
      <c r="A53" s="3">
        <v>39173</v>
      </c>
      <c r="B53" s="17">
        <v>393</v>
      </c>
    </row>
    <row r="54" spans="1:2" x14ac:dyDescent="0.25">
      <c r="A54" s="3">
        <v>39203</v>
      </c>
      <c r="B54" s="17">
        <v>393</v>
      </c>
    </row>
    <row r="55" spans="1:2" x14ac:dyDescent="0.25">
      <c r="A55" s="3">
        <v>39234</v>
      </c>
      <c r="B55" s="17">
        <v>394</v>
      </c>
    </row>
    <row r="56" spans="1:2" x14ac:dyDescent="0.25">
      <c r="A56" s="3">
        <v>39264</v>
      </c>
      <c r="B56" s="17">
        <v>400</v>
      </c>
    </row>
    <row r="57" spans="1:2" x14ac:dyDescent="0.25">
      <c r="A57" s="3">
        <v>39295</v>
      </c>
      <c r="B57" s="17">
        <v>401</v>
      </c>
    </row>
    <row r="58" spans="1:2" x14ac:dyDescent="0.25">
      <c r="A58" s="3">
        <v>39326</v>
      </c>
      <c r="B58" s="17">
        <v>402</v>
      </c>
    </row>
    <row r="59" spans="1:2" x14ac:dyDescent="0.25">
      <c r="A59" s="3">
        <v>39356</v>
      </c>
      <c r="B59" s="17">
        <v>402</v>
      </c>
    </row>
    <row r="60" spans="1:2" x14ac:dyDescent="0.25">
      <c r="A60" s="3">
        <v>39387</v>
      </c>
      <c r="B60" s="17">
        <v>400</v>
      </c>
    </row>
    <row r="61" spans="1:2" x14ac:dyDescent="0.25">
      <c r="A61" s="3">
        <v>39417</v>
      </c>
      <c r="B61" s="17">
        <v>403</v>
      </c>
    </row>
    <row r="62" spans="1:2" x14ac:dyDescent="0.25">
      <c r="A62" s="3">
        <v>39448</v>
      </c>
      <c r="B62" s="17">
        <v>401</v>
      </c>
    </row>
    <row r="63" spans="1:2" x14ac:dyDescent="0.25">
      <c r="A63" s="3">
        <v>39479</v>
      </c>
      <c r="B63" s="17">
        <v>401</v>
      </c>
    </row>
    <row r="64" spans="1:2" x14ac:dyDescent="0.25">
      <c r="A64" s="3">
        <v>39508</v>
      </c>
      <c r="B64" s="17">
        <v>395</v>
      </c>
    </row>
    <row r="65" spans="1:34" x14ac:dyDescent="0.25">
      <c r="A65" s="3">
        <v>39539</v>
      </c>
      <c r="B65" s="17">
        <v>396</v>
      </c>
    </row>
    <row r="66" spans="1:34" x14ac:dyDescent="0.25">
      <c r="A66" s="3">
        <v>39569</v>
      </c>
      <c r="B66" s="17">
        <v>395</v>
      </c>
    </row>
    <row r="67" spans="1:34" x14ac:dyDescent="0.25">
      <c r="A67" s="3">
        <v>39600</v>
      </c>
      <c r="B67" s="17">
        <v>396</v>
      </c>
    </row>
    <row r="68" spans="1:34" x14ac:dyDescent="0.25">
      <c r="A68" s="3">
        <v>39630</v>
      </c>
      <c r="B68" s="17">
        <v>395</v>
      </c>
    </row>
    <row r="69" spans="1:34" x14ac:dyDescent="0.25">
      <c r="A69" s="3">
        <v>39661</v>
      </c>
      <c r="B69" s="17">
        <v>396</v>
      </c>
    </row>
    <row r="70" spans="1:34" x14ac:dyDescent="0.25">
      <c r="A70" s="3">
        <v>39692</v>
      </c>
      <c r="B70" s="17">
        <v>394</v>
      </c>
    </row>
    <row r="71" spans="1:34" x14ac:dyDescent="0.25">
      <c r="A71" s="3">
        <v>39722</v>
      </c>
      <c r="B71" s="17">
        <v>395</v>
      </c>
    </row>
    <row r="72" spans="1:34" x14ac:dyDescent="0.25">
      <c r="A72" s="3">
        <v>39753</v>
      </c>
      <c r="B72" s="17">
        <v>394</v>
      </c>
    </row>
    <row r="73" spans="1:34" x14ac:dyDescent="0.25">
      <c r="A73" s="3">
        <v>39783</v>
      </c>
      <c r="B73" s="17">
        <v>392</v>
      </c>
    </row>
    <row r="74" spans="1:34" s="14" customFormat="1" x14ac:dyDescent="0.25">
      <c r="A74" s="3">
        <v>39814</v>
      </c>
      <c r="B74" s="17">
        <v>393</v>
      </c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</row>
    <row r="75" spans="1:34" x14ac:dyDescent="0.25">
      <c r="A75" s="3">
        <v>39845</v>
      </c>
      <c r="B75" s="17">
        <v>394</v>
      </c>
    </row>
    <row r="76" spans="1:34" x14ac:dyDescent="0.25">
      <c r="A76" s="3">
        <v>39873</v>
      </c>
      <c r="B76" s="17">
        <v>394</v>
      </c>
    </row>
    <row r="77" spans="1:34" x14ac:dyDescent="0.25">
      <c r="A77" s="3">
        <v>39904</v>
      </c>
      <c r="B77" s="17">
        <v>393</v>
      </c>
    </row>
    <row r="78" spans="1:34" x14ac:dyDescent="0.25">
      <c r="A78" s="3">
        <v>39934</v>
      </c>
      <c r="B78" s="17">
        <v>399</v>
      </c>
    </row>
    <row r="79" spans="1:34" x14ac:dyDescent="0.25">
      <c r="A79" s="3">
        <v>39965</v>
      </c>
      <c r="B79" s="17">
        <v>396</v>
      </c>
    </row>
    <row r="80" spans="1:34" x14ac:dyDescent="0.25">
      <c r="A80" s="3">
        <v>39995</v>
      </c>
      <c r="B80" s="17">
        <v>395</v>
      </c>
    </row>
    <row r="81" spans="1:26" x14ac:dyDescent="0.25">
      <c r="A81" s="3">
        <v>40026</v>
      </c>
      <c r="B81" s="17">
        <v>399</v>
      </c>
    </row>
    <row r="82" spans="1:26" x14ac:dyDescent="0.25">
      <c r="A82" s="3">
        <v>40057</v>
      </c>
      <c r="B82" s="17">
        <v>397</v>
      </c>
    </row>
    <row r="83" spans="1:26" x14ac:dyDescent="0.25">
      <c r="A83" s="3">
        <v>40087</v>
      </c>
      <c r="B83" s="17">
        <v>396</v>
      </c>
    </row>
    <row r="84" spans="1:26" x14ac:dyDescent="0.25">
      <c r="A84" s="3">
        <v>40118</v>
      </c>
      <c r="B84" s="17">
        <v>395</v>
      </c>
    </row>
    <row r="85" spans="1:26" s="30" customFormat="1" x14ac:dyDescent="0.25">
      <c r="A85" s="3">
        <v>40148</v>
      </c>
      <c r="B85" s="17">
        <v>396</v>
      </c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26" x14ac:dyDescent="0.25">
      <c r="A86" s="3">
        <v>40179</v>
      </c>
      <c r="B86" s="17">
        <v>396</v>
      </c>
    </row>
    <row r="87" spans="1:26" x14ac:dyDescent="0.25">
      <c r="A87" s="3">
        <v>40210</v>
      </c>
      <c r="B87" s="17">
        <v>396</v>
      </c>
    </row>
    <row r="88" spans="1:26" x14ac:dyDescent="0.25">
      <c r="A88" s="3">
        <v>40238</v>
      </c>
      <c r="B88" s="17">
        <v>395</v>
      </c>
    </row>
    <row r="89" spans="1:26" x14ac:dyDescent="0.25">
      <c r="A89" s="3">
        <v>40269</v>
      </c>
      <c r="B89" s="17">
        <v>396</v>
      </c>
    </row>
    <row r="90" spans="1:26" x14ac:dyDescent="0.25">
      <c r="A90" s="3">
        <v>40299</v>
      </c>
      <c r="B90" s="17">
        <v>395</v>
      </c>
    </row>
    <row r="91" spans="1:26" x14ac:dyDescent="0.25">
      <c r="A91" s="3">
        <v>40330</v>
      </c>
      <c r="B91" s="17">
        <v>388</v>
      </c>
    </row>
    <row r="92" spans="1:26" x14ac:dyDescent="0.25">
      <c r="A92" s="3">
        <v>40360</v>
      </c>
      <c r="B92" s="17">
        <v>393</v>
      </c>
    </row>
    <row r="93" spans="1:26" x14ac:dyDescent="0.25">
      <c r="A93" s="3">
        <v>40391</v>
      </c>
      <c r="B93" s="17">
        <v>392</v>
      </c>
    </row>
    <row r="94" spans="1:26" x14ac:dyDescent="0.25">
      <c r="A94" s="3">
        <v>40422</v>
      </c>
      <c r="B94" s="17">
        <v>393</v>
      </c>
    </row>
    <row r="95" spans="1:26" x14ac:dyDescent="0.25">
      <c r="A95" s="3">
        <v>40452</v>
      </c>
      <c r="B95" s="17">
        <v>395</v>
      </c>
    </row>
    <row r="96" spans="1:26" x14ac:dyDescent="0.25">
      <c r="A96" s="3">
        <v>40483</v>
      </c>
      <c r="B96" s="17">
        <v>398</v>
      </c>
    </row>
    <row r="97" spans="1:2" x14ac:dyDescent="0.25">
      <c r="A97" s="3">
        <v>40513</v>
      </c>
      <c r="B97" s="17">
        <v>397</v>
      </c>
    </row>
    <row r="98" spans="1:2" x14ac:dyDescent="0.25">
      <c r="A98" s="3">
        <v>40544</v>
      </c>
      <c r="B98" s="17">
        <v>394</v>
      </c>
    </row>
    <row r="99" spans="1:2" x14ac:dyDescent="0.25">
      <c r="A99" s="3">
        <v>40575</v>
      </c>
      <c r="B99" s="17">
        <v>387</v>
      </c>
    </row>
    <row r="100" spans="1:2" x14ac:dyDescent="0.25">
      <c r="A100" s="3">
        <v>40603</v>
      </c>
      <c r="B100" s="17">
        <v>381</v>
      </c>
    </row>
    <row r="101" spans="1:2" x14ac:dyDescent="0.25">
      <c r="A101" s="3">
        <v>40634</v>
      </c>
      <c r="B101" s="17">
        <v>382</v>
      </c>
    </row>
    <row r="102" spans="1:2" x14ac:dyDescent="0.25">
      <c r="A102" s="3">
        <v>40664</v>
      </c>
      <c r="B102" s="17">
        <v>380</v>
      </c>
    </row>
    <row r="103" spans="1:2" x14ac:dyDescent="0.25">
      <c r="A103" s="3">
        <v>40695</v>
      </c>
      <c r="B103" s="17">
        <v>384</v>
      </c>
    </row>
    <row r="104" spans="1:2" x14ac:dyDescent="0.25">
      <c r="A104" s="3">
        <v>40725</v>
      </c>
      <c r="B104" s="17">
        <v>381</v>
      </c>
    </row>
    <row r="105" spans="1:2" x14ac:dyDescent="0.25">
      <c r="A105" s="3">
        <v>40756</v>
      </c>
      <c r="B105" s="17">
        <v>382</v>
      </c>
    </row>
    <row r="106" spans="1:2" x14ac:dyDescent="0.25">
      <c r="A106" s="3">
        <v>40787</v>
      </c>
      <c r="B106" s="17">
        <v>380</v>
      </c>
    </row>
    <row r="107" spans="1:2" x14ac:dyDescent="0.25">
      <c r="A107" s="3">
        <v>40817</v>
      </c>
      <c r="B107" s="17">
        <v>377</v>
      </c>
    </row>
    <row r="108" spans="1:2" x14ac:dyDescent="0.25">
      <c r="A108" s="3">
        <v>40848</v>
      </c>
      <c r="B108" s="17">
        <v>382</v>
      </c>
    </row>
    <row r="109" spans="1:2" x14ac:dyDescent="0.25">
      <c r="A109" s="3">
        <v>40878</v>
      </c>
      <c r="B109" s="17">
        <v>382</v>
      </c>
    </row>
    <row r="110" spans="1:2" x14ac:dyDescent="0.25">
      <c r="A110" s="3">
        <v>40909</v>
      </c>
      <c r="B110" s="17">
        <v>378</v>
      </c>
    </row>
    <row r="111" spans="1:2" x14ac:dyDescent="0.25">
      <c r="A111" s="3">
        <v>40940</v>
      </c>
      <c r="B111" s="17">
        <v>379</v>
      </c>
    </row>
    <row r="112" spans="1:2" x14ac:dyDescent="0.25">
      <c r="A112" s="3">
        <v>40969</v>
      </c>
      <c r="B112" s="17">
        <v>379</v>
      </c>
    </row>
    <row r="113" spans="1:2" x14ac:dyDescent="0.25">
      <c r="A113" s="3">
        <v>41000</v>
      </c>
      <c r="B113" s="17">
        <v>381</v>
      </c>
    </row>
    <row r="114" spans="1:2" x14ac:dyDescent="0.25">
      <c r="A114" s="3">
        <v>41030</v>
      </c>
      <c r="B114" s="17">
        <v>387</v>
      </c>
    </row>
    <row r="115" spans="1:2" x14ac:dyDescent="0.25">
      <c r="A115" s="3">
        <v>41061</v>
      </c>
      <c r="B115" s="17">
        <v>389</v>
      </c>
    </row>
    <row r="116" spans="1:2" x14ac:dyDescent="0.25">
      <c r="A116" s="3">
        <v>41091</v>
      </c>
      <c r="B116" s="17">
        <v>388</v>
      </c>
    </row>
    <row r="117" spans="1:2" x14ac:dyDescent="0.25">
      <c r="A117" s="3">
        <v>41122</v>
      </c>
      <c r="B117" s="17">
        <v>388</v>
      </c>
    </row>
    <row r="118" spans="1:2" x14ac:dyDescent="0.25">
      <c r="A118" s="3">
        <v>41153</v>
      </c>
      <c r="B118" s="17">
        <v>389</v>
      </c>
    </row>
    <row r="119" spans="1:2" x14ac:dyDescent="0.25">
      <c r="A119" s="3">
        <v>41183</v>
      </c>
      <c r="B119" s="17">
        <v>389</v>
      </c>
    </row>
    <row r="120" spans="1:2" x14ac:dyDescent="0.25">
      <c r="A120" s="3">
        <v>41214</v>
      </c>
      <c r="B120" s="17">
        <v>391</v>
      </c>
    </row>
    <row r="121" spans="1:2" x14ac:dyDescent="0.25">
      <c r="A121" s="3">
        <v>41244</v>
      </c>
      <c r="B121" s="17">
        <v>391</v>
      </c>
    </row>
    <row r="122" spans="1:2" x14ac:dyDescent="0.25">
      <c r="A122" s="3">
        <v>41275</v>
      </c>
      <c r="B122" s="17">
        <v>393</v>
      </c>
    </row>
    <row r="123" spans="1:2" x14ac:dyDescent="0.25">
      <c r="A123" s="3">
        <v>41306</v>
      </c>
      <c r="B123" s="17">
        <v>391</v>
      </c>
    </row>
    <row r="124" spans="1:2" x14ac:dyDescent="0.25">
      <c r="A124" s="3">
        <v>41334</v>
      </c>
      <c r="B124" s="17">
        <v>392</v>
      </c>
    </row>
    <row r="125" spans="1:2" x14ac:dyDescent="0.25">
      <c r="A125" s="3">
        <v>41365</v>
      </c>
      <c r="B125" s="17">
        <v>392</v>
      </c>
    </row>
    <row r="126" spans="1:2" x14ac:dyDescent="0.25">
      <c r="A126" s="3">
        <v>41395</v>
      </c>
      <c r="B126" s="17">
        <v>391</v>
      </c>
    </row>
    <row r="127" spans="1:2" x14ac:dyDescent="0.25">
      <c r="A127" s="3">
        <v>41426</v>
      </c>
      <c r="B127" s="17">
        <v>392</v>
      </c>
    </row>
    <row r="128" spans="1:2" x14ac:dyDescent="0.25">
      <c r="A128" s="3">
        <v>41456</v>
      </c>
      <c r="B128" s="17">
        <v>389</v>
      </c>
    </row>
    <row r="129" spans="1:2" x14ac:dyDescent="0.25">
      <c r="A129" s="3">
        <v>41487</v>
      </c>
      <c r="B129" s="17">
        <v>389</v>
      </c>
    </row>
    <row r="130" spans="1:2" x14ac:dyDescent="0.25">
      <c r="A130" s="3">
        <v>41518</v>
      </c>
      <c r="B130" s="17">
        <v>390</v>
      </c>
    </row>
    <row r="131" spans="1:2" x14ac:dyDescent="0.25">
      <c r="A131" s="3">
        <v>41548</v>
      </c>
      <c r="B131" s="17">
        <v>391</v>
      </c>
    </row>
    <row r="132" spans="1:2" x14ac:dyDescent="0.25">
      <c r="A132" s="3">
        <v>41579</v>
      </c>
      <c r="B132" s="17">
        <v>391</v>
      </c>
    </row>
    <row r="133" spans="1:2" x14ac:dyDescent="0.25">
      <c r="A133" s="3">
        <v>41609</v>
      </c>
      <c r="B133" s="17">
        <v>392</v>
      </c>
    </row>
    <row r="134" spans="1:2" x14ac:dyDescent="0.25">
      <c r="A134" s="3">
        <v>41640</v>
      </c>
      <c r="B134" s="17">
        <v>392</v>
      </c>
    </row>
    <row r="135" spans="1:2" x14ac:dyDescent="0.25">
      <c r="A135" s="3">
        <v>41671</v>
      </c>
      <c r="B135" s="17">
        <v>391</v>
      </c>
    </row>
    <row r="136" spans="1:2" x14ac:dyDescent="0.25">
      <c r="A136" s="3">
        <v>41699</v>
      </c>
      <c r="B136" s="17">
        <v>391</v>
      </c>
    </row>
    <row r="137" spans="1:2" x14ac:dyDescent="0.25">
      <c r="A137" s="3">
        <v>41730</v>
      </c>
      <c r="B137" s="17">
        <v>392</v>
      </c>
    </row>
    <row r="138" spans="1:2" x14ac:dyDescent="0.25">
      <c r="A138" s="3">
        <v>41760</v>
      </c>
      <c r="B138" s="17">
        <v>392</v>
      </c>
    </row>
    <row r="139" spans="1:2" x14ac:dyDescent="0.25">
      <c r="A139" s="3">
        <v>41791</v>
      </c>
      <c r="B139" s="17">
        <v>401</v>
      </c>
    </row>
    <row r="140" spans="1:2" x14ac:dyDescent="0.25">
      <c r="A140" s="3">
        <v>41821</v>
      </c>
      <c r="B140" s="17">
        <v>398</v>
      </c>
    </row>
    <row r="141" spans="1:2" x14ac:dyDescent="0.25">
      <c r="A141" s="3">
        <v>41852</v>
      </c>
      <c r="B141" s="17">
        <v>396</v>
      </c>
    </row>
    <row r="142" spans="1:2" x14ac:dyDescent="0.25">
      <c r="A142" s="3">
        <v>41883</v>
      </c>
      <c r="B142" s="17">
        <v>399</v>
      </c>
    </row>
    <row r="143" spans="1:2" x14ac:dyDescent="0.25">
      <c r="A143" s="3">
        <v>41913</v>
      </c>
      <c r="B143" s="17">
        <v>395</v>
      </c>
    </row>
    <row r="144" spans="1:2" x14ac:dyDescent="0.25">
      <c r="A144" s="3">
        <v>41944</v>
      </c>
      <c r="B144" s="17">
        <v>397</v>
      </c>
    </row>
    <row r="145" spans="1:2" x14ac:dyDescent="0.25">
      <c r="A145" s="3">
        <v>41974</v>
      </c>
      <c r="B145" s="17">
        <v>395</v>
      </c>
    </row>
    <row r="146" spans="1:2" x14ac:dyDescent="0.25">
      <c r="A146" s="3">
        <v>42005</v>
      </c>
      <c r="B146" s="17">
        <v>395</v>
      </c>
    </row>
    <row r="147" spans="1:2" x14ac:dyDescent="0.25">
      <c r="A147" s="3">
        <v>42036</v>
      </c>
      <c r="B147" s="17">
        <v>392</v>
      </c>
    </row>
    <row r="148" spans="1:2" x14ac:dyDescent="0.25">
      <c r="A148" s="3">
        <v>42064</v>
      </c>
      <c r="B148" s="17">
        <v>399</v>
      </c>
    </row>
    <row r="149" spans="1:2" x14ac:dyDescent="0.25">
      <c r="A149" s="3">
        <v>42095</v>
      </c>
      <c r="B149" s="17">
        <v>395</v>
      </c>
    </row>
    <row r="150" spans="1:2" x14ac:dyDescent="0.25">
      <c r="A150" s="3">
        <v>42125</v>
      </c>
      <c r="B150" s="17">
        <v>395</v>
      </c>
    </row>
    <row r="151" spans="1:2" x14ac:dyDescent="0.25">
      <c r="A151" s="3">
        <v>42156</v>
      </c>
      <c r="B151" s="17">
        <v>394</v>
      </c>
    </row>
    <row r="152" spans="1:2" x14ac:dyDescent="0.25">
      <c r="A152" s="3">
        <v>42186</v>
      </c>
      <c r="B152" s="17">
        <v>396</v>
      </c>
    </row>
    <row r="153" spans="1:2" x14ac:dyDescent="0.25">
      <c r="A153" s="3">
        <v>42217</v>
      </c>
      <c r="B153" s="17">
        <v>397</v>
      </c>
    </row>
    <row r="154" spans="1:2" x14ac:dyDescent="0.25">
      <c r="A154" s="3">
        <v>42248</v>
      </c>
      <c r="B154" s="17">
        <v>398</v>
      </c>
    </row>
    <row r="155" spans="1:2" x14ac:dyDescent="0.25">
      <c r="A155" s="3">
        <v>42278</v>
      </c>
      <c r="B155" s="17">
        <v>395</v>
      </c>
    </row>
    <row r="156" spans="1:2" x14ac:dyDescent="0.25">
      <c r="A156" s="3">
        <v>42309</v>
      </c>
      <c r="B156" s="17">
        <v>390</v>
      </c>
    </row>
    <row r="157" spans="1:2" x14ac:dyDescent="0.25">
      <c r="A157" s="3">
        <v>42339</v>
      </c>
      <c r="B157" s="17">
        <v>391</v>
      </c>
    </row>
    <row r="158" spans="1:2" x14ac:dyDescent="0.25">
      <c r="A158" s="3">
        <v>42370</v>
      </c>
      <c r="B158" s="17">
        <v>395</v>
      </c>
    </row>
    <row r="159" spans="1:2" x14ac:dyDescent="0.25">
      <c r="A159" s="3">
        <v>42401</v>
      </c>
      <c r="B159" s="17">
        <v>392</v>
      </c>
    </row>
    <row r="160" spans="1:2" x14ac:dyDescent="0.25">
      <c r="A160" s="3">
        <v>42430</v>
      </c>
      <c r="B160" s="17">
        <v>392</v>
      </c>
    </row>
    <row r="161" spans="1:2" x14ac:dyDescent="0.25">
      <c r="A161" s="3">
        <v>42461</v>
      </c>
      <c r="B161" s="17">
        <v>394</v>
      </c>
    </row>
    <row r="162" spans="1:2" x14ac:dyDescent="0.25">
      <c r="A162" s="3">
        <v>42491</v>
      </c>
      <c r="B162" s="17">
        <v>393</v>
      </c>
    </row>
    <row r="163" spans="1:2" x14ac:dyDescent="0.25">
      <c r="A163" s="3">
        <v>42522</v>
      </c>
      <c r="B163" s="17">
        <v>393</v>
      </c>
    </row>
    <row r="164" spans="1:2" x14ac:dyDescent="0.25">
      <c r="A164" s="3">
        <v>42552</v>
      </c>
      <c r="B164" s="17">
        <v>391</v>
      </c>
    </row>
    <row r="165" spans="1:2" x14ac:dyDescent="0.25">
      <c r="A165" s="3">
        <v>42583</v>
      </c>
      <c r="B165" s="17">
        <v>391</v>
      </c>
    </row>
    <row r="166" spans="1:2" x14ac:dyDescent="0.25">
      <c r="A166" s="3">
        <v>42614</v>
      </c>
      <c r="B166" s="17">
        <v>391</v>
      </c>
    </row>
    <row r="167" spans="1:2" x14ac:dyDescent="0.25">
      <c r="A167" s="3">
        <v>42644</v>
      </c>
      <c r="B167" s="17">
        <v>397</v>
      </c>
    </row>
    <row r="168" spans="1:2" x14ac:dyDescent="0.25">
      <c r="A168" s="3">
        <v>42675</v>
      </c>
      <c r="B168" s="17">
        <v>394</v>
      </c>
    </row>
    <row r="169" spans="1:2" x14ac:dyDescent="0.25">
      <c r="A169" s="3">
        <v>42705</v>
      </c>
      <c r="B169" s="17">
        <v>394</v>
      </c>
    </row>
    <row r="170" spans="1:2" x14ac:dyDescent="0.25">
      <c r="B170"/>
    </row>
    <row r="171" spans="1:2" x14ac:dyDescent="0.25">
      <c r="B171"/>
    </row>
    <row r="172" spans="1:2" x14ac:dyDescent="0.25">
      <c r="B172"/>
    </row>
    <row r="173" spans="1:2" x14ac:dyDescent="0.25">
      <c r="B173"/>
    </row>
    <row r="174" spans="1:2" x14ac:dyDescent="0.25">
      <c r="B174"/>
    </row>
    <row r="175" spans="1:2" x14ac:dyDescent="0.25">
      <c r="B175"/>
    </row>
    <row r="176" spans="1:2" x14ac:dyDescent="0.25">
      <c r="B176"/>
    </row>
    <row r="177" spans="2:2" x14ac:dyDescent="0.25">
      <c r="B177"/>
    </row>
    <row r="178" spans="2:2" x14ac:dyDescent="0.25">
      <c r="B178"/>
    </row>
    <row r="179" spans="2:2" x14ac:dyDescent="0.25">
      <c r="B179"/>
    </row>
    <row r="180" spans="2:2" x14ac:dyDescent="0.25">
      <c r="B180"/>
    </row>
    <row r="181" spans="2:2" x14ac:dyDescent="0.25">
      <c r="B181"/>
    </row>
    <row r="182" spans="2:2" x14ac:dyDescent="0.25">
      <c r="B182"/>
    </row>
    <row r="183" spans="2:2" x14ac:dyDescent="0.25">
      <c r="B183"/>
    </row>
    <row r="184" spans="2:2" x14ac:dyDescent="0.25">
      <c r="B184"/>
    </row>
    <row r="185" spans="2:2" x14ac:dyDescent="0.25">
      <c r="B185"/>
    </row>
    <row r="186" spans="2:2" x14ac:dyDescent="0.25">
      <c r="B186"/>
    </row>
    <row r="187" spans="2:2" x14ac:dyDescent="0.25">
      <c r="B187"/>
    </row>
    <row r="188" spans="2:2" x14ac:dyDescent="0.25">
      <c r="B188"/>
    </row>
    <row r="189" spans="2:2" x14ac:dyDescent="0.25">
      <c r="B189"/>
    </row>
    <row r="190" spans="2:2" x14ac:dyDescent="0.25">
      <c r="B190"/>
    </row>
    <row r="191" spans="2:2" x14ac:dyDescent="0.25">
      <c r="B191"/>
    </row>
    <row r="192" spans="2:2" x14ac:dyDescent="0.25">
      <c r="B192"/>
    </row>
    <row r="193" spans="2:2" x14ac:dyDescent="0.25">
      <c r="B193"/>
    </row>
    <row r="194" spans="2:2" x14ac:dyDescent="0.25">
      <c r="B194"/>
    </row>
    <row r="195" spans="2:2" x14ac:dyDescent="0.25">
      <c r="B195"/>
    </row>
    <row r="196" spans="2:2" x14ac:dyDescent="0.25">
      <c r="B196"/>
    </row>
    <row r="197" spans="2:2" x14ac:dyDescent="0.25">
      <c r="B197"/>
    </row>
    <row r="198" spans="2:2" x14ac:dyDescent="0.25">
      <c r="B198"/>
    </row>
    <row r="199" spans="2:2" x14ac:dyDescent="0.25">
      <c r="B199"/>
    </row>
    <row r="200" spans="2:2" x14ac:dyDescent="0.25">
      <c r="B200"/>
    </row>
    <row r="201" spans="2:2" x14ac:dyDescent="0.25">
      <c r="B201"/>
    </row>
    <row r="202" spans="2:2" x14ac:dyDescent="0.25">
      <c r="B202"/>
    </row>
    <row r="203" spans="2:2" x14ac:dyDescent="0.25">
      <c r="B203"/>
    </row>
    <row r="204" spans="2:2" x14ac:dyDescent="0.25">
      <c r="B204"/>
    </row>
    <row r="205" spans="2:2" x14ac:dyDescent="0.25">
      <c r="B205"/>
    </row>
    <row r="206" spans="2:2" x14ac:dyDescent="0.25">
      <c r="B206"/>
    </row>
    <row r="207" spans="2:2" x14ac:dyDescent="0.25">
      <c r="B207"/>
    </row>
    <row r="208" spans="2:2" x14ac:dyDescent="0.25">
      <c r="B208"/>
    </row>
    <row r="209" spans="2:2" x14ac:dyDescent="0.25">
      <c r="B209"/>
    </row>
    <row r="210" spans="2:2" x14ac:dyDescent="0.25">
      <c r="B210"/>
    </row>
    <row r="211" spans="2:2" x14ac:dyDescent="0.25">
      <c r="B211"/>
    </row>
    <row r="212" spans="2:2" x14ac:dyDescent="0.25">
      <c r="B212"/>
    </row>
    <row r="213" spans="2:2" x14ac:dyDescent="0.25">
      <c r="B213"/>
    </row>
  </sheetData>
  <phoneticPr fontId="0" type="noConversion"/>
  <pageMargins left="0.38" right="0.75" top="0.73" bottom="0.74" header="0.5" footer="0.5"/>
  <pageSetup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10"/>
  <sheetViews>
    <sheetView workbookViewId="0">
      <selection activeCell="D220" sqref="D220"/>
    </sheetView>
  </sheetViews>
  <sheetFormatPr defaultRowHeight="12.5" x14ac:dyDescent="0.25"/>
  <cols>
    <col min="1" max="1" width="11.81640625" customWidth="1"/>
    <col min="2" max="2" width="12.453125" style="21" customWidth="1"/>
    <col min="3" max="3" width="15.453125" bestFit="1" customWidth="1"/>
    <col min="4" max="4" width="17" customWidth="1"/>
    <col min="5" max="5" width="12.453125" customWidth="1"/>
    <col min="6" max="6" width="25.81640625" bestFit="1" customWidth="1"/>
    <col min="7" max="9" width="18" customWidth="1"/>
    <col min="10" max="10" width="17.1796875" customWidth="1"/>
    <col min="11" max="12" width="15.7265625" customWidth="1"/>
    <col min="13" max="13" width="14.1796875" bestFit="1" customWidth="1"/>
    <col min="14" max="14" width="11.7265625" bestFit="1" customWidth="1"/>
    <col min="15" max="15" width="11.81640625" bestFit="1" customWidth="1"/>
    <col min="16" max="16" width="12.54296875" customWidth="1"/>
    <col min="17" max="17" width="11.26953125" customWidth="1"/>
    <col min="18" max="18" width="11.54296875" customWidth="1"/>
    <col min="19" max="19" width="9.26953125" customWidth="1"/>
    <col min="21" max="21" width="12.453125" bestFit="1" customWidth="1"/>
    <col min="22" max="22" width="10.7265625" bestFit="1" customWidth="1"/>
  </cols>
  <sheetData>
    <row r="1" spans="1:2" ht="42" customHeight="1" x14ac:dyDescent="0.25">
      <c r="B1" s="63" t="s">
        <v>60</v>
      </c>
    </row>
    <row r="2" spans="1:2" x14ac:dyDescent="0.25">
      <c r="A2" s="3">
        <v>37622</v>
      </c>
      <c r="B2" s="17">
        <v>31</v>
      </c>
    </row>
    <row r="3" spans="1:2" x14ac:dyDescent="0.25">
      <c r="A3" s="3">
        <v>37653</v>
      </c>
      <c r="B3" s="17">
        <v>31</v>
      </c>
    </row>
    <row r="4" spans="1:2" x14ac:dyDescent="0.25">
      <c r="A4" s="3">
        <v>37681</v>
      </c>
      <c r="B4" s="17">
        <v>31</v>
      </c>
    </row>
    <row r="5" spans="1:2" x14ac:dyDescent="0.25">
      <c r="A5" s="3">
        <v>37712</v>
      </c>
      <c r="B5" s="17">
        <v>31</v>
      </c>
    </row>
    <row r="6" spans="1:2" x14ac:dyDescent="0.25">
      <c r="A6" s="3">
        <v>37742</v>
      </c>
      <c r="B6" s="17">
        <v>31</v>
      </c>
    </row>
    <row r="7" spans="1:2" x14ac:dyDescent="0.25">
      <c r="A7" s="3">
        <v>37773</v>
      </c>
      <c r="B7" s="17">
        <v>31</v>
      </c>
    </row>
    <row r="8" spans="1:2" x14ac:dyDescent="0.25">
      <c r="A8" s="3">
        <v>37803</v>
      </c>
      <c r="B8" s="17">
        <v>31</v>
      </c>
    </row>
    <row r="9" spans="1:2" x14ac:dyDescent="0.25">
      <c r="A9" s="3">
        <v>37834</v>
      </c>
      <c r="B9" s="17">
        <v>31</v>
      </c>
    </row>
    <row r="10" spans="1:2" x14ac:dyDescent="0.25">
      <c r="A10" s="3">
        <v>37865</v>
      </c>
      <c r="B10" s="17">
        <v>31</v>
      </c>
    </row>
    <row r="11" spans="1:2" x14ac:dyDescent="0.25">
      <c r="A11" s="3">
        <v>37895</v>
      </c>
      <c r="B11" s="17">
        <v>31</v>
      </c>
    </row>
    <row r="12" spans="1:2" x14ac:dyDescent="0.25">
      <c r="A12" s="3">
        <v>37926</v>
      </c>
      <c r="B12" s="17">
        <v>31</v>
      </c>
    </row>
    <row r="13" spans="1:2" x14ac:dyDescent="0.25">
      <c r="A13" s="3">
        <v>37956</v>
      </c>
      <c r="B13" s="17">
        <v>31</v>
      </c>
    </row>
    <row r="14" spans="1:2" x14ac:dyDescent="0.25">
      <c r="A14" s="3">
        <v>37987</v>
      </c>
      <c r="B14" s="17">
        <v>31</v>
      </c>
    </row>
    <row r="15" spans="1:2" x14ac:dyDescent="0.25">
      <c r="A15" s="3">
        <v>38018</v>
      </c>
      <c r="B15" s="17">
        <v>31</v>
      </c>
    </row>
    <row r="16" spans="1:2" x14ac:dyDescent="0.25">
      <c r="A16" s="3">
        <v>38047</v>
      </c>
      <c r="B16" s="17">
        <v>31</v>
      </c>
    </row>
    <row r="17" spans="1:2" x14ac:dyDescent="0.25">
      <c r="A17" s="3">
        <v>38078</v>
      </c>
      <c r="B17" s="17">
        <v>31</v>
      </c>
    </row>
    <row r="18" spans="1:2" x14ac:dyDescent="0.25">
      <c r="A18" s="3">
        <v>38108</v>
      </c>
      <c r="B18" s="17">
        <v>31</v>
      </c>
    </row>
    <row r="19" spans="1:2" x14ac:dyDescent="0.25">
      <c r="A19" s="3">
        <v>38139</v>
      </c>
      <c r="B19" s="17">
        <v>31</v>
      </c>
    </row>
    <row r="20" spans="1:2" x14ac:dyDescent="0.25">
      <c r="A20" s="3">
        <v>38169</v>
      </c>
      <c r="B20" s="17">
        <v>32</v>
      </c>
    </row>
    <row r="21" spans="1:2" x14ac:dyDescent="0.25">
      <c r="A21" s="3">
        <v>38200</v>
      </c>
      <c r="B21" s="17">
        <v>33</v>
      </c>
    </row>
    <row r="22" spans="1:2" x14ac:dyDescent="0.25">
      <c r="A22" s="3">
        <v>38231</v>
      </c>
      <c r="B22" s="17">
        <v>33</v>
      </c>
    </row>
    <row r="23" spans="1:2" x14ac:dyDescent="0.25">
      <c r="A23" s="3">
        <v>38261</v>
      </c>
      <c r="B23" s="17">
        <v>35</v>
      </c>
    </row>
    <row r="24" spans="1:2" x14ac:dyDescent="0.25">
      <c r="A24" s="3">
        <v>38292</v>
      </c>
      <c r="B24" s="17">
        <v>35</v>
      </c>
    </row>
    <row r="25" spans="1:2" x14ac:dyDescent="0.25">
      <c r="A25" s="3">
        <v>38322</v>
      </c>
      <c r="B25" s="17">
        <v>35</v>
      </c>
    </row>
    <row r="26" spans="1:2" x14ac:dyDescent="0.25">
      <c r="A26" s="3">
        <v>38353</v>
      </c>
      <c r="B26" s="17">
        <v>35</v>
      </c>
    </row>
    <row r="27" spans="1:2" x14ac:dyDescent="0.25">
      <c r="A27" s="3">
        <v>38384</v>
      </c>
      <c r="B27" s="17">
        <v>35</v>
      </c>
    </row>
    <row r="28" spans="1:2" x14ac:dyDescent="0.25">
      <c r="A28" s="3">
        <v>38412</v>
      </c>
      <c r="B28" s="17">
        <v>35</v>
      </c>
    </row>
    <row r="29" spans="1:2" x14ac:dyDescent="0.25">
      <c r="A29" s="3">
        <v>38443</v>
      </c>
      <c r="B29" s="17">
        <v>36</v>
      </c>
    </row>
    <row r="30" spans="1:2" x14ac:dyDescent="0.25">
      <c r="A30" s="3">
        <v>38473</v>
      </c>
      <c r="B30" s="17">
        <v>36</v>
      </c>
    </row>
    <row r="31" spans="1:2" x14ac:dyDescent="0.25">
      <c r="A31" s="3">
        <v>38504</v>
      </c>
      <c r="B31" s="17">
        <v>36</v>
      </c>
    </row>
    <row r="32" spans="1:2" x14ac:dyDescent="0.25">
      <c r="A32" s="3">
        <v>38534</v>
      </c>
      <c r="B32" s="17">
        <v>37</v>
      </c>
    </row>
    <row r="33" spans="1:2" x14ac:dyDescent="0.25">
      <c r="A33" s="3">
        <v>38565</v>
      </c>
      <c r="B33" s="17">
        <v>37</v>
      </c>
    </row>
    <row r="34" spans="1:2" x14ac:dyDescent="0.25">
      <c r="A34" s="3">
        <v>38596</v>
      </c>
      <c r="B34" s="17">
        <v>37</v>
      </c>
    </row>
    <row r="35" spans="1:2" x14ac:dyDescent="0.25">
      <c r="A35" s="3">
        <v>38626</v>
      </c>
      <c r="B35" s="17">
        <v>37</v>
      </c>
    </row>
    <row r="36" spans="1:2" x14ac:dyDescent="0.25">
      <c r="A36" s="3">
        <v>38657</v>
      </c>
      <c r="B36" s="17">
        <v>37</v>
      </c>
    </row>
    <row r="37" spans="1:2" x14ac:dyDescent="0.25">
      <c r="A37" s="3">
        <v>38687</v>
      </c>
      <c r="B37" s="17">
        <v>37</v>
      </c>
    </row>
    <row r="38" spans="1:2" x14ac:dyDescent="0.25">
      <c r="A38" s="3">
        <v>38718</v>
      </c>
      <c r="B38" s="17">
        <v>37</v>
      </c>
    </row>
    <row r="39" spans="1:2" x14ac:dyDescent="0.25">
      <c r="A39" s="3">
        <v>38749</v>
      </c>
      <c r="B39" s="17">
        <v>37</v>
      </c>
    </row>
    <row r="40" spans="1:2" x14ac:dyDescent="0.25">
      <c r="A40" s="3">
        <v>38777</v>
      </c>
      <c r="B40" s="17">
        <v>37</v>
      </c>
    </row>
    <row r="41" spans="1:2" x14ac:dyDescent="0.25">
      <c r="A41" s="3">
        <v>38808</v>
      </c>
      <c r="B41" s="17">
        <v>37</v>
      </c>
    </row>
    <row r="42" spans="1:2" x14ac:dyDescent="0.25">
      <c r="A42" s="3">
        <v>38838</v>
      </c>
      <c r="B42" s="17">
        <v>36</v>
      </c>
    </row>
    <row r="43" spans="1:2" x14ac:dyDescent="0.25">
      <c r="A43" s="3">
        <v>38869</v>
      </c>
      <c r="B43" s="17">
        <v>36</v>
      </c>
    </row>
    <row r="44" spans="1:2" x14ac:dyDescent="0.25">
      <c r="A44" s="3">
        <v>38899</v>
      </c>
      <c r="B44" s="17">
        <v>38</v>
      </c>
    </row>
    <row r="45" spans="1:2" x14ac:dyDescent="0.25">
      <c r="A45" s="3">
        <v>38930</v>
      </c>
      <c r="B45" s="17">
        <v>39</v>
      </c>
    </row>
    <row r="46" spans="1:2" x14ac:dyDescent="0.25">
      <c r="A46" s="3">
        <v>38961</v>
      </c>
      <c r="B46" s="17">
        <v>39</v>
      </c>
    </row>
    <row r="47" spans="1:2" x14ac:dyDescent="0.25">
      <c r="A47" s="3">
        <v>38991</v>
      </c>
      <c r="B47" s="17">
        <v>41</v>
      </c>
    </row>
    <row r="48" spans="1:2" x14ac:dyDescent="0.25">
      <c r="A48" s="3">
        <v>39022</v>
      </c>
      <c r="B48" s="17">
        <v>42</v>
      </c>
    </row>
    <row r="49" spans="1:2" x14ac:dyDescent="0.25">
      <c r="A49" s="3">
        <v>39052</v>
      </c>
      <c r="B49" s="17">
        <v>42</v>
      </c>
    </row>
    <row r="50" spans="1:2" x14ac:dyDescent="0.25">
      <c r="A50" s="3">
        <v>39083</v>
      </c>
      <c r="B50" s="17">
        <v>43</v>
      </c>
    </row>
    <row r="51" spans="1:2" x14ac:dyDescent="0.25">
      <c r="A51" s="3">
        <v>39114</v>
      </c>
      <c r="B51" s="17">
        <v>42</v>
      </c>
    </row>
    <row r="52" spans="1:2" x14ac:dyDescent="0.25">
      <c r="A52" s="3">
        <v>39142</v>
      </c>
      <c r="B52" s="17">
        <v>43</v>
      </c>
    </row>
    <row r="53" spans="1:2" x14ac:dyDescent="0.25">
      <c r="A53" s="3">
        <v>39173</v>
      </c>
      <c r="B53" s="17">
        <v>42</v>
      </c>
    </row>
    <row r="54" spans="1:2" x14ac:dyDescent="0.25">
      <c r="A54" s="3">
        <v>39203</v>
      </c>
      <c r="B54" s="17">
        <v>41</v>
      </c>
    </row>
    <row r="55" spans="1:2" x14ac:dyDescent="0.25">
      <c r="A55" s="3">
        <v>39234</v>
      </c>
      <c r="B55" s="17">
        <v>41</v>
      </c>
    </row>
    <row r="56" spans="1:2" x14ac:dyDescent="0.25">
      <c r="A56" s="3">
        <v>39264</v>
      </c>
      <c r="B56" s="17">
        <v>41</v>
      </c>
    </row>
    <row r="57" spans="1:2" x14ac:dyDescent="0.25">
      <c r="A57" s="3">
        <v>39295</v>
      </c>
      <c r="B57" s="17">
        <v>41</v>
      </c>
    </row>
    <row r="58" spans="1:2" x14ac:dyDescent="0.25">
      <c r="A58" s="3">
        <v>39326</v>
      </c>
      <c r="B58" s="17">
        <v>41</v>
      </c>
    </row>
    <row r="59" spans="1:2" x14ac:dyDescent="0.25">
      <c r="A59" s="3">
        <v>39356</v>
      </c>
      <c r="B59" s="17">
        <v>41</v>
      </c>
    </row>
    <row r="60" spans="1:2" x14ac:dyDescent="0.25">
      <c r="A60" s="3">
        <v>39387</v>
      </c>
      <c r="B60" s="17">
        <v>41</v>
      </c>
    </row>
    <row r="61" spans="1:2" x14ac:dyDescent="0.25">
      <c r="A61" s="3">
        <v>39417</v>
      </c>
      <c r="B61" s="17">
        <v>41</v>
      </c>
    </row>
    <row r="62" spans="1:2" x14ac:dyDescent="0.25">
      <c r="A62" s="3">
        <v>39448</v>
      </c>
      <c r="B62" s="17">
        <v>41</v>
      </c>
    </row>
    <row r="63" spans="1:2" x14ac:dyDescent="0.25">
      <c r="A63" s="3">
        <v>39479</v>
      </c>
      <c r="B63" s="17">
        <v>41</v>
      </c>
    </row>
    <row r="64" spans="1:2" x14ac:dyDescent="0.25">
      <c r="A64" s="3">
        <v>39508</v>
      </c>
      <c r="B64" s="17">
        <v>41</v>
      </c>
    </row>
    <row r="65" spans="1:33" x14ac:dyDescent="0.25">
      <c r="A65" s="3">
        <v>39539</v>
      </c>
      <c r="B65" s="17">
        <v>41</v>
      </c>
    </row>
    <row r="66" spans="1:33" x14ac:dyDescent="0.25">
      <c r="A66" s="3">
        <v>39569</v>
      </c>
      <c r="B66" s="17">
        <v>41</v>
      </c>
    </row>
    <row r="67" spans="1:33" x14ac:dyDescent="0.25">
      <c r="A67" s="3">
        <v>39600</v>
      </c>
      <c r="B67" s="17">
        <v>42</v>
      </c>
    </row>
    <row r="68" spans="1:33" x14ac:dyDescent="0.25">
      <c r="A68" s="3">
        <v>39630</v>
      </c>
      <c r="B68" s="17">
        <v>41</v>
      </c>
    </row>
    <row r="69" spans="1:33" x14ac:dyDescent="0.25">
      <c r="A69" s="3">
        <v>39661</v>
      </c>
      <c r="B69" s="17">
        <v>41</v>
      </c>
    </row>
    <row r="70" spans="1:33" x14ac:dyDescent="0.25">
      <c r="A70" s="3">
        <v>39692</v>
      </c>
      <c r="B70" s="17">
        <v>41</v>
      </c>
    </row>
    <row r="71" spans="1:33" x14ac:dyDescent="0.25">
      <c r="A71" s="3">
        <v>39722</v>
      </c>
      <c r="B71" s="17">
        <v>41</v>
      </c>
    </row>
    <row r="72" spans="1:33" x14ac:dyDescent="0.25">
      <c r="A72" s="3">
        <v>39753</v>
      </c>
      <c r="B72" s="17">
        <v>41</v>
      </c>
    </row>
    <row r="73" spans="1:33" x14ac:dyDescent="0.25">
      <c r="A73" s="3">
        <v>39783</v>
      </c>
      <c r="B73" s="17">
        <v>40</v>
      </c>
    </row>
    <row r="74" spans="1:33" s="14" customFormat="1" x14ac:dyDescent="0.25">
      <c r="A74" s="3">
        <v>39814</v>
      </c>
      <c r="B74" s="17">
        <v>40</v>
      </c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</row>
    <row r="75" spans="1:33" x14ac:dyDescent="0.25">
      <c r="A75" s="3">
        <v>39845</v>
      </c>
      <c r="B75" s="17">
        <v>40</v>
      </c>
    </row>
    <row r="76" spans="1:33" x14ac:dyDescent="0.25">
      <c r="A76" s="3">
        <v>39873</v>
      </c>
      <c r="B76" s="17">
        <v>40</v>
      </c>
    </row>
    <row r="77" spans="1:33" x14ac:dyDescent="0.25">
      <c r="A77" s="3">
        <v>39904</v>
      </c>
      <c r="B77" s="17">
        <v>40</v>
      </c>
    </row>
    <row r="78" spans="1:33" x14ac:dyDescent="0.25">
      <c r="A78" s="3">
        <v>39934</v>
      </c>
      <c r="B78" s="17">
        <v>40</v>
      </c>
    </row>
    <row r="79" spans="1:33" x14ac:dyDescent="0.25">
      <c r="A79" s="3">
        <v>39965</v>
      </c>
      <c r="B79" s="17">
        <v>40</v>
      </c>
    </row>
    <row r="80" spans="1:33" x14ac:dyDescent="0.25">
      <c r="A80" s="3">
        <v>39995</v>
      </c>
      <c r="B80" s="17">
        <v>41</v>
      </c>
    </row>
    <row r="81" spans="1:24" x14ac:dyDescent="0.25">
      <c r="A81" s="3">
        <v>40026</v>
      </c>
      <c r="B81" s="17">
        <v>40</v>
      </c>
    </row>
    <row r="82" spans="1:24" x14ac:dyDescent="0.25">
      <c r="A82" s="3">
        <v>40057</v>
      </c>
      <c r="B82" s="17">
        <v>40</v>
      </c>
    </row>
    <row r="83" spans="1:24" x14ac:dyDescent="0.25">
      <c r="A83" s="3">
        <v>40087</v>
      </c>
      <c r="B83" s="17">
        <v>41</v>
      </c>
    </row>
    <row r="84" spans="1:24" x14ac:dyDescent="0.25">
      <c r="A84" s="3">
        <v>40118</v>
      </c>
      <c r="B84" s="17">
        <v>39</v>
      </c>
    </row>
    <row r="85" spans="1:24" s="30" customFormat="1" x14ac:dyDescent="0.25">
      <c r="A85" s="3">
        <v>40148</v>
      </c>
      <c r="B85" s="17">
        <v>39</v>
      </c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</row>
    <row r="86" spans="1:24" x14ac:dyDescent="0.25">
      <c r="A86" s="3">
        <v>40179</v>
      </c>
      <c r="B86" s="17">
        <v>41</v>
      </c>
    </row>
    <row r="87" spans="1:24" x14ac:dyDescent="0.25">
      <c r="A87" s="3">
        <v>40210</v>
      </c>
      <c r="B87" s="17">
        <v>40</v>
      </c>
    </row>
    <row r="88" spans="1:24" x14ac:dyDescent="0.25">
      <c r="A88" s="3">
        <v>40238</v>
      </c>
      <c r="B88" s="17">
        <v>41</v>
      </c>
    </row>
    <row r="89" spans="1:24" x14ac:dyDescent="0.25">
      <c r="A89" s="3">
        <v>40269</v>
      </c>
      <c r="B89" s="17">
        <v>41</v>
      </c>
    </row>
    <row r="90" spans="1:24" x14ac:dyDescent="0.25">
      <c r="A90" s="3">
        <v>40299</v>
      </c>
      <c r="B90" s="17">
        <v>41</v>
      </c>
    </row>
    <row r="91" spans="1:24" x14ac:dyDescent="0.25">
      <c r="A91" s="3">
        <v>40330</v>
      </c>
      <c r="B91" s="17">
        <v>48</v>
      </c>
    </row>
    <row r="92" spans="1:24" x14ac:dyDescent="0.25">
      <c r="A92" s="3">
        <v>40360</v>
      </c>
      <c r="B92" s="17">
        <v>48</v>
      </c>
    </row>
    <row r="93" spans="1:24" x14ac:dyDescent="0.25">
      <c r="A93" s="3">
        <v>40391</v>
      </c>
      <c r="B93" s="17">
        <v>48</v>
      </c>
    </row>
    <row r="94" spans="1:24" x14ac:dyDescent="0.25">
      <c r="A94" s="3">
        <v>40422</v>
      </c>
      <c r="B94" s="17">
        <v>48</v>
      </c>
    </row>
    <row r="95" spans="1:24" x14ac:dyDescent="0.25">
      <c r="A95" s="3">
        <v>40452</v>
      </c>
      <c r="B95" s="17">
        <v>48</v>
      </c>
    </row>
    <row r="96" spans="1:24" x14ac:dyDescent="0.25">
      <c r="A96" s="3">
        <v>40483</v>
      </c>
      <c r="B96" s="17">
        <v>48</v>
      </c>
    </row>
    <row r="97" spans="1:2" x14ac:dyDescent="0.25">
      <c r="A97" s="3">
        <v>40513</v>
      </c>
      <c r="B97" s="17">
        <v>49</v>
      </c>
    </row>
    <row r="98" spans="1:2" x14ac:dyDescent="0.25">
      <c r="A98" s="3">
        <v>40544</v>
      </c>
      <c r="B98" s="17">
        <v>49</v>
      </c>
    </row>
    <row r="99" spans="1:2" x14ac:dyDescent="0.25">
      <c r="A99" s="3">
        <v>40575</v>
      </c>
      <c r="B99" s="17">
        <v>49</v>
      </c>
    </row>
    <row r="100" spans="1:2" x14ac:dyDescent="0.25">
      <c r="A100" s="3">
        <v>40603</v>
      </c>
      <c r="B100" s="17">
        <v>49</v>
      </c>
    </row>
    <row r="101" spans="1:2" x14ac:dyDescent="0.25">
      <c r="A101" s="3">
        <v>40634</v>
      </c>
      <c r="B101" s="17">
        <v>49</v>
      </c>
    </row>
    <row r="102" spans="1:2" x14ac:dyDescent="0.25">
      <c r="A102" s="3">
        <v>40664</v>
      </c>
      <c r="B102" s="17">
        <v>49</v>
      </c>
    </row>
    <row r="103" spans="1:2" x14ac:dyDescent="0.25">
      <c r="A103" s="3">
        <v>40695</v>
      </c>
      <c r="B103" s="17">
        <v>49</v>
      </c>
    </row>
    <row r="104" spans="1:2" x14ac:dyDescent="0.25">
      <c r="A104" s="3">
        <v>40725</v>
      </c>
      <c r="B104" s="17">
        <v>49</v>
      </c>
    </row>
    <row r="105" spans="1:2" x14ac:dyDescent="0.25">
      <c r="A105" s="3">
        <v>40756</v>
      </c>
      <c r="B105" s="17">
        <v>52</v>
      </c>
    </row>
    <row r="106" spans="1:2" x14ac:dyDescent="0.25">
      <c r="A106" s="3">
        <v>40787</v>
      </c>
      <c r="B106" s="17">
        <v>52</v>
      </c>
    </row>
    <row r="107" spans="1:2" x14ac:dyDescent="0.25">
      <c r="A107" s="3">
        <v>40817</v>
      </c>
      <c r="B107" s="17">
        <v>52</v>
      </c>
    </row>
    <row r="108" spans="1:2" x14ac:dyDescent="0.25">
      <c r="A108" s="3">
        <v>40848</v>
      </c>
      <c r="B108" s="17">
        <v>52</v>
      </c>
    </row>
    <row r="109" spans="1:2" x14ac:dyDescent="0.25">
      <c r="A109" s="3">
        <v>40878</v>
      </c>
      <c r="B109" s="17">
        <v>52</v>
      </c>
    </row>
    <row r="110" spans="1:2" x14ac:dyDescent="0.25">
      <c r="A110" s="3">
        <v>40909</v>
      </c>
      <c r="B110" s="17">
        <v>52</v>
      </c>
    </row>
    <row r="111" spans="1:2" x14ac:dyDescent="0.25">
      <c r="A111" s="3">
        <v>40940</v>
      </c>
      <c r="B111" s="17">
        <v>52</v>
      </c>
    </row>
    <row r="112" spans="1:2" x14ac:dyDescent="0.25">
      <c r="A112" s="3">
        <v>40969</v>
      </c>
      <c r="B112" s="17">
        <v>52</v>
      </c>
    </row>
    <row r="113" spans="1:2" x14ac:dyDescent="0.25">
      <c r="A113" s="3">
        <v>41000</v>
      </c>
      <c r="B113" s="17">
        <v>51</v>
      </c>
    </row>
    <row r="114" spans="1:2" x14ac:dyDescent="0.25">
      <c r="A114" s="3">
        <v>41030</v>
      </c>
      <c r="B114" s="17">
        <v>51</v>
      </c>
    </row>
    <row r="115" spans="1:2" x14ac:dyDescent="0.25">
      <c r="A115" s="3">
        <v>41061</v>
      </c>
      <c r="B115" s="17">
        <v>51</v>
      </c>
    </row>
    <row r="116" spans="1:2" x14ac:dyDescent="0.25">
      <c r="A116" s="3">
        <v>41091</v>
      </c>
      <c r="B116" s="17">
        <v>51</v>
      </c>
    </row>
    <row r="117" spans="1:2" x14ac:dyDescent="0.25">
      <c r="A117" s="3">
        <v>41122</v>
      </c>
      <c r="B117" s="17">
        <v>51</v>
      </c>
    </row>
    <row r="118" spans="1:2" x14ac:dyDescent="0.25">
      <c r="A118" s="3">
        <v>41153</v>
      </c>
      <c r="B118" s="17">
        <v>51</v>
      </c>
    </row>
    <row r="119" spans="1:2" x14ac:dyDescent="0.25">
      <c r="A119" s="3">
        <v>41183</v>
      </c>
      <c r="B119" s="17">
        <v>53</v>
      </c>
    </row>
    <row r="120" spans="1:2" x14ac:dyDescent="0.25">
      <c r="A120" s="3">
        <v>41214</v>
      </c>
      <c r="B120" s="17">
        <v>53</v>
      </c>
    </row>
    <row r="121" spans="1:2" x14ac:dyDescent="0.25">
      <c r="A121" s="3">
        <v>41244</v>
      </c>
      <c r="B121" s="17">
        <v>53</v>
      </c>
    </row>
    <row r="122" spans="1:2" x14ac:dyDescent="0.25">
      <c r="A122" s="3">
        <v>41275</v>
      </c>
      <c r="B122" s="17">
        <v>53</v>
      </c>
    </row>
    <row r="123" spans="1:2" x14ac:dyDescent="0.25">
      <c r="A123" s="3">
        <v>41306</v>
      </c>
      <c r="B123" s="17">
        <v>54</v>
      </c>
    </row>
    <row r="124" spans="1:2" x14ac:dyDescent="0.25">
      <c r="A124" s="3">
        <v>41334</v>
      </c>
      <c r="B124" s="17">
        <v>53</v>
      </c>
    </row>
    <row r="125" spans="1:2" x14ac:dyDescent="0.25">
      <c r="A125" s="3">
        <v>41365</v>
      </c>
      <c r="B125" s="17">
        <v>53</v>
      </c>
    </row>
    <row r="126" spans="1:2" x14ac:dyDescent="0.25">
      <c r="A126" s="3">
        <v>41395</v>
      </c>
      <c r="B126" s="17">
        <v>53</v>
      </c>
    </row>
    <row r="127" spans="1:2" x14ac:dyDescent="0.25">
      <c r="A127" s="3">
        <v>41426</v>
      </c>
      <c r="B127" s="17">
        <v>53</v>
      </c>
    </row>
    <row r="128" spans="1:2" x14ac:dyDescent="0.25">
      <c r="A128" s="3">
        <v>41456</v>
      </c>
      <c r="B128" s="17">
        <v>53</v>
      </c>
    </row>
    <row r="129" spans="1:2" x14ac:dyDescent="0.25">
      <c r="A129" s="3">
        <v>41487</v>
      </c>
      <c r="B129" s="17">
        <v>53</v>
      </c>
    </row>
    <row r="130" spans="1:2" x14ac:dyDescent="0.25">
      <c r="A130" s="3">
        <v>41518</v>
      </c>
      <c r="B130" s="17">
        <v>53</v>
      </c>
    </row>
    <row r="131" spans="1:2" x14ac:dyDescent="0.25">
      <c r="A131" s="3">
        <v>41548</v>
      </c>
      <c r="B131" s="17">
        <v>53</v>
      </c>
    </row>
    <row r="132" spans="1:2" x14ac:dyDescent="0.25">
      <c r="A132" s="3">
        <v>41579</v>
      </c>
      <c r="B132" s="17">
        <v>53</v>
      </c>
    </row>
    <row r="133" spans="1:2" x14ac:dyDescent="0.25">
      <c r="A133" s="3">
        <v>41609</v>
      </c>
      <c r="B133" s="17">
        <v>53</v>
      </c>
    </row>
    <row r="134" spans="1:2" x14ac:dyDescent="0.25">
      <c r="A134" s="3">
        <v>41640</v>
      </c>
      <c r="B134" s="17">
        <v>53</v>
      </c>
    </row>
    <row r="135" spans="1:2" x14ac:dyDescent="0.25">
      <c r="A135" s="3">
        <v>41671</v>
      </c>
      <c r="B135" s="17">
        <v>53</v>
      </c>
    </row>
    <row r="136" spans="1:2" x14ac:dyDescent="0.25">
      <c r="A136" s="3">
        <v>41699</v>
      </c>
      <c r="B136" s="17">
        <v>53</v>
      </c>
    </row>
    <row r="137" spans="1:2" x14ac:dyDescent="0.25">
      <c r="A137" s="3">
        <v>41730</v>
      </c>
      <c r="B137" s="17">
        <v>53</v>
      </c>
    </row>
    <row r="138" spans="1:2" x14ac:dyDescent="0.25">
      <c r="A138" s="3">
        <v>41760</v>
      </c>
      <c r="B138" s="17">
        <v>53</v>
      </c>
    </row>
    <row r="139" spans="1:2" x14ac:dyDescent="0.25">
      <c r="A139" s="3">
        <v>41791</v>
      </c>
      <c r="B139" s="17">
        <v>56</v>
      </c>
    </row>
    <row r="140" spans="1:2" x14ac:dyDescent="0.25">
      <c r="A140" s="3">
        <v>41821</v>
      </c>
      <c r="B140" s="17">
        <v>51</v>
      </c>
    </row>
    <row r="141" spans="1:2" x14ac:dyDescent="0.25">
      <c r="A141" s="3">
        <v>41852</v>
      </c>
      <c r="B141" s="17">
        <v>50</v>
      </c>
    </row>
    <row r="142" spans="1:2" x14ac:dyDescent="0.25">
      <c r="A142" s="3">
        <v>41883</v>
      </c>
      <c r="B142" s="17">
        <v>51</v>
      </c>
    </row>
    <row r="143" spans="1:2" x14ac:dyDescent="0.25">
      <c r="A143" s="3">
        <v>41913</v>
      </c>
      <c r="B143" s="17">
        <v>51</v>
      </c>
    </row>
    <row r="144" spans="1:2" x14ac:dyDescent="0.25">
      <c r="A144" s="3">
        <v>41944</v>
      </c>
      <c r="B144" s="17">
        <v>51</v>
      </c>
    </row>
    <row r="145" spans="1:2" x14ac:dyDescent="0.25">
      <c r="A145" s="3">
        <v>41974</v>
      </c>
      <c r="B145" s="17">
        <v>51</v>
      </c>
    </row>
    <row r="146" spans="1:2" x14ac:dyDescent="0.25">
      <c r="A146" s="3">
        <v>42005</v>
      </c>
      <c r="B146" s="17">
        <v>51</v>
      </c>
    </row>
    <row r="147" spans="1:2" x14ac:dyDescent="0.25">
      <c r="A147" s="3">
        <v>42036</v>
      </c>
      <c r="B147" s="17">
        <v>51</v>
      </c>
    </row>
    <row r="148" spans="1:2" x14ac:dyDescent="0.25">
      <c r="A148" s="3">
        <v>42064</v>
      </c>
      <c r="B148" s="17">
        <v>51</v>
      </c>
    </row>
    <row r="149" spans="1:2" x14ac:dyDescent="0.25">
      <c r="A149" s="3">
        <v>42095</v>
      </c>
      <c r="B149" s="17">
        <v>51</v>
      </c>
    </row>
    <row r="150" spans="1:2" x14ac:dyDescent="0.25">
      <c r="A150" s="3">
        <v>42125</v>
      </c>
      <c r="B150" s="17">
        <v>51</v>
      </c>
    </row>
    <row r="151" spans="1:2" x14ac:dyDescent="0.25">
      <c r="A151" s="3">
        <v>42156</v>
      </c>
      <c r="B151" s="17">
        <v>51</v>
      </c>
    </row>
    <row r="152" spans="1:2" x14ac:dyDescent="0.25">
      <c r="A152" s="3">
        <v>42186</v>
      </c>
      <c r="B152" s="17">
        <v>51</v>
      </c>
    </row>
    <row r="153" spans="1:2" x14ac:dyDescent="0.25">
      <c r="A153" s="3">
        <v>42217</v>
      </c>
      <c r="B153" s="17">
        <v>51</v>
      </c>
    </row>
    <row r="154" spans="1:2" x14ac:dyDescent="0.25">
      <c r="A154" s="3">
        <v>42248</v>
      </c>
      <c r="B154" s="17">
        <v>51</v>
      </c>
    </row>
    <row r="155" spans="1:2" x14ac:dyDescent="0.25">
      <c r="A155" s="3">
        <v>42278</v>
      </c>
      <c r="B155" s="17">
        <v>52</v>
      </c>
    </row>
    <row r="156" spans="1:2" x14ac:dyDescent="0.25">
      <c r="A156" s="3">
        <v>42309</v>
      </c>
      <c r="B156" s="17">
        <v>52</v>
      </c>
    </row>
    <row r="157" spans="1:2" x14ac:dyDescent="0.25">
      <c r="A157" s="3">
        <v>42339</v>
      </c>
      <c r="B157" s="17">
        <v>52</v>
      </c>
    </row>
    <row r="158" spans="1:2" x14ac:dyDescent="0.25">
      <c r="A158" s="3">
        <v>42370</v>
      </c>
      <c r="B158" s="17">
        <v>52</v>
      </c>
    </row>
    <row r="159" spans="1:2" x14ac:dyDescent="0.25">
      <c r="A159" s="3">
        <v>42401</v>
      </c>
      <c r="B159" s="17">
        <v>52</v>
      </c>
    </row>
    <row r="160" spans="1:2" x14ac:dyDescent="0.25">
      <c r="A160" s="3">
        <v>42430</v>
      </c>
      <c r="B160" s="17">
        <v>52</v>
      </c>
    </row>
    <row r="161" spans="1:2" x14ac:dyDescent="0.25">
      <c r="A161" s="3">
        <v>42461</v>
      </c>
      <c r="B161" s="17">
        <v>50</v>
      </c>
    </row>
    <row r="162" spans="1:2" x14ac:dyDescent="0.25">
      <c r="A162" s="3">
        <v>42491</v>
      </c>
      <c r="B162" s="17">
        <v>50</v>
      </c>
    </row>
    <row r="163" spans="1:2" x14ac:dyDescent="0.25">
      <c r="A163" s="3">
        <v>42522</v>
      </c>
      <c r="B163" s="17">
        <v>50</v>
      </c>
    </row>
    <row r="164" spans="1:2" x14ac:dyDescent="0.25">
      <c r="A164" s="3">
        <v>42552</v>
      </c>
      <c r="B164" s="17">
        <v>50</v>
      </c>
    </row>
    <row r="165" spans="1:2" x14ac:dyDescent="0.25">
      <c r="A165" s="3">
        <v>42583</v>
      </c>
      <c r="B165" s="17">
        <v>50</v>
      </c>
    </row>
    <row r="166" spans="1:2" x14ac:dyDescent="0.25">
      <c r="A166" s="3">
        <v>42614</v>
      </c>
      <c r="B166" s="17">
        <v>50</v>
      </c>
    </row>
    <row r="167" spans="1:2" x14ac:dyDescent="0.25">
      <c r="A167" s="3">
        <v>42644</v>
      </c>
      <c r="B167" s="17">
        <v>50</v>
      </c>
    </row>
    <row r="168" spans="1:2" x14ac:dyDescent="0.25">
      <c r="A168" s="3">
        <v>42675</v>
      </c>
      <c r="B168" s="17">
        <v>50</v>
      </c>
    </row>
    <row r="169" spans="1:2" x14ac:dyDescent="0.25">
      <c r="A169" s="3">
        <v>42705</v>
      </c>
      <c r="B169" s="17">
        <v>50</v>
      </c>
    </row>
    <row r="170" spans="1:2" x14ac:dyDescent="0.25">
      <c r="B170"/>
    </row>
    <row r="171" spans="1:2" x14ac:dyDescent="0.25">
      <c r="B171"/>
    </row>
    <row r="172" spans="1:2" x14ac:dyDescent="0.25">
      <c r="B172"/>
    </row>
    <row r="173" spans="1:2" x14ac:dyDescent="0.25">
      <c r="B173"/>
    </row>
    <row r="174" spans="1:2" x14ac:dyDescent="0.25">
      <c r="B174"/>
    </row>
    <row r="175" spans="1:2" x14ac:dyDescent="0.25">
      <c r="B175"/>
    </row>
    <row r="176" spans="1:2" x14ac:dyDescent="0.25">
      <c r="B176"/>
    </row>
    <row r="177" spans="2:2" x14ac:dyDescent="0.25">
      <c r="B177"/>
    </row>
    <row r="178" spans="2:2" x14ac:dyDescent="0.25">
      <c r="B178"/>
    </row>
    <row r="179" spans="2:2" x14ac:dyDescent="0.25">
      <c r="B179"/>
    </row>
    <row r="180" spans="2:2" x14ac:dyDescent="0.25">
      <c r="B180"/>
    </row>
    <row r="181" spans="2:2" x14ac:dyDescent="0.25">
      <c r="B181"/>
    </row>
    <row r="182" spans="2:2" x14ac:dyDescent="0.25">
      <c r="B182"/>
    </row>
    <row r="183" spans="2:2" x14ac:dyDescent="0.25">
      <c r="B183"/>
    </row>
    <row r="184" spans="2:2" x14ac:dyDescent="0.25">
      <c r="B184"/>
    </row>
    <row r="185" spans="2:2" x14ac:dyDescent="0.25">
      <c r="B185"/>
    </row>
    <row r="186" spans="2:2" x14ac:dyDescent="0.25">
      <c r="B186"/>
    </row>
    <row r="187" spans="2:2" x14ac:dyDescent="0.25">
      <c r="B187"/>
    </row>
    <row r="188" spans="2:2" x14ac:dyDescent="0.25">
      <c r="B188"/>
    </row>
    <row r="189" spans="2:2" x14ac:dyDescent="0.25">
      <c r="B189"/>
    </row>
    <row r="190" spans="2:2" x14ac:dyDescent="0.25">
      <c r="B190"/>
    </row>
    <row r="191" spans="2:2" x14ac:dyDescent="0.25">
      <c r="B191"/>
    </row>
    <row r="192" spans="2:2" x14ac:dyDescent="0.25">
      <c r="B192"/>
    </row>
    <row r="193" spans="2:2" x14ac:dyDescent="0.25">
      <c r="B193"/>
    </row>
    <row r="194" spans="2:2" x14ac:dyDescent="0.25">
      <c r="B194"/>
    </row>
    <row r="195" spans="2:2" x14ac:dyDescent="0.25">
      <c r="B195"/>
    </row>
    <row r="196" spans="2:2" x14ac:dyDescent="0.25">
      <c r="B196"/>
    </row>
    <row r="197" spans="2:2" x14ac:dyDescent="0.25">
      <c r="B197"/>
    </row>
    <row r="198" spans="2:2" x14ac:dyDescent="0.25">
      <c r="B198"/>
    </row>
    <row r="199" spans="2:2" x14ac:dyDescent="0.25">
      <c r="B199"/>
    </row>
    <row r="200" spans="2:2" x14ac:dyDescent="0.25">
      <c r="B200"/>
    </row>
    <row r="201" spans="2:2" x14ac:dyDescent="0.25">
      <c r="B201"/>
    </row>
    <row r="202" spans="2:2" x14ac:dyDescent="0.25">
      <c r="B202"/>
    </row>
    <row r="203" spans="2:2" x14ac:dyDescent="0.25">
      <c r="B203"/>
    </row>
    <row r="204" spans="2:2" x14ac:dyDescent="0.25">
      <c r="B204"/>
    </row>
    <row r="205" spans="2:2" x14ac:dyDescent="0.25">
      <c r="B205"/>
    </row>
    <row r="206" spans="2:2" x14ac:dyDescent="0.25">
      <c r="B206"/>
    </row>
    <row r="207" spans="2:2" x14ac:dyDescent="0.25">
      <c r="B207"/>
    </row>
    <row r="208" spans="2:2" x14ac:dyDescent="0.25">
      <c r="B208"/>
    </row>
    <row r="209" spans="2:2" x14ac:dyDescent="0.25">
      <c r="B209"/>
    </row>
    <row r="210" spans="2:2" x14ac:dyDescent="0.25">
      <c r="B210"/>
    </row>
  </sheetData>
  <phoneticPr fontId="0" type="noConversion"/>
  <pageMargins left="0.38" right="0.75" top="0.73" bottom="0.74" header="0.5" footer="0.5"/>
  <pageSetup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72"/>
  <sheetViews>
    <sheetView workbookViewId="0">
      <pane xSplit="1" ySplit="2" topLeftCell="E45" activePane="bottomRight" state="frozen"/>
      <selection pane="topRight" activeCell="B1" sqref="B1"/>
      <selection pane="bottomLeft" activeCell="A3" sqref="A3"/>
      <selection pane="bottomRight" activeCell="G67" sqref="G67:G68"/>
    </sheetView>
  </sheetViews>
  <sheetFormatPr defaultRowHeight="12.5" x14ac:dyDescent="0.25"/>
  <cols>
    <col min="1" max="1" width="34.54296875" bestFit="1" customWidth="1"/>
    <col min="2" max="5" width="18" style="1" customWidth="1"/>
    <col min="6" max="6" width="15.7265625" style="1" customWidth="1"/>
    <col min="7" max="7" width="15.7265625" style="6" customWidth="1"/>
    <col min="8" max="8" width="15" style="6" customWidth="1"/>
    <col min="9" max="10" width="14.1796875" style="6" bestFit="1" customWidth="1"/>
    <col min="11" max="12" width="14.1796875" style="6" customWidth="1"/>
    <col min="13" max="13" width="12.7265625" style="6" bestFit="1" customWidth="1"/>
    <col min="14" max="14" width="11.1796875" style="6" bestFit="1" customWidth="1"/>
    <col min="15" max="15" width="11.7265625" style="6" bestFit="1" customWidth="1"/>
    <col min="16" max="16" width="10.7265625" style="6" bestFit="1" customWidth="1"/>
    <col min="17" max="17" width="9.1796875" style="6"/>
    <col min="18" max="18" width="11.1796875" style="6" bestFit="1" customWidth="1"/>
  </cols>
  <sheetData>
    <row r="2" spans="1:12" ht="42" customHeight="1" x14ac:dyDescent="0.25">
      <c r="B2" s="2" t="s">
        <v>7</v>
      </c>
      <c r="C2" s="2" t="s">
        <v>8</v>
      </c>
      <c r="D2" s="2" t="s">
        <v>41</v>
      </c>
      <c r="E2" s="2" t="s">
        <v>9</v>
      </c>
      <c r="F2" s="2" t="s">
        <v>1</v>
      </c>
      <c r="G2" s="7" t="s">
        <v>2</v>
      </c>
      <c r="H2" s="69" t="s">
        <v>61</v>
      </c>
      <c r="I2" s="86" t="s">
        <v>62</v>
      </c>
      <c r="J2" s="86" t="s">
        <v>63</v>
      </c>
      <c r="K2" s="87" t="s">
        <v>64</v>
      </c>
      <c r="L2" s="86" t="s">
        <v>65</v>
      </c>
    </row>
    <row r="3" spans="1:12" x14ac:dyDescent="0.25">
      <c r="A3">
        <f>'Purchased Power Model '!A150</f>
        <v>2007</v>
      </c>
      <c r="B3" s="6">
        <f>'Purchased Power Model '!B150</f>
        <v>93884880</v>
      </c>
      <c r="C3" s="6">
        <f>'Purchased Power Model '!L150</f>
        <v>93451827.500962675</v>
      </c>
      <c r="D3" s="35">
        <f t="shared" ref="D3:D12" si="0">C3-B3</f>
        <v>-433052.49903732538</v>
      </c>
      <c r="E3" s="5">
        <f t="shared" ref="E3:E12" si="1">D3/B3</f>
        <v>-4.6125904302942644E-3</v>
      </c>
      <c r="F3" s="45">
        <f>1 +(B3-G3)/B3</f>
        <v>1.0341456260049542</v>
      </c>
      <c r="G3" s="85">
        <f t="shared" ref="G3:G12" si="2">SUM(H3:L3)</f>
        <v>90679122</v>
      </c>
      <c r="H3" s="25">
        <v>32814076</v>
      </c>
      <c r="I3" s="25">
        <f>15350067-K3</f>
        <v>15307581</v>
      </c>
      <c r="J3" s="25">
        <v>42025394</v>
      </c>
      <c r="K3" s="25">
        <v>42486</v>
      </c>
      <c r="L3" s="25">
        <v>489585</v>
      </c>
    </row>
    <row r="4" spans="1:12" x14ac:dyDescent="0.25">
      <c r="A4">
        <f>'Purchased Power Model '!A151</f>
        <v>2008</v>
      </c>
      <c r="B4" s="6">
        <f>'Purchased Power Model '!B151</f>
        <v>81867475</v>
      </c>
      <c r="C4" s="6">
        <f>'Purchased Power Model '!L151</f>
        <v>85259100.60203144</v>
      </c>
      <c r="D4" s="35">
        <f t="shared" si="0"/>
        <v>3391625.6020314395</v>
      </c>
      <c r="E4" s="5">
        <f t="shared" si="1"/>
        <v>4.1428242437322509E-2</v>
      </c>
      <c r="F4" s="45">
        <f t="shared" ref="F4:F12" si="3">1 +(B4-G4)/B4</f>
        <v>1.062483690867466</v>
      </c>
      <c r="G4" s="85">
        <f t="shared" si="2"/>
        <v>76752093</v>
      </c>
      <c r="H4" s="25">
        <v>33587664</v>
      </c>
      <c r="I4" s="25">
        <f>15226334-K4</f>
        <v>15183848</v>
      </c>
      <c r="J4" s="25">
        <v>27443928</v>
      </c>
      <c r="K4" s="25">
        <v>42486</v>
      </c>
      <c r="L4" s="25">
        <v>494167</v>
      </c>
    </row>
    <row r="5" spans="1:12" x14ac:dyDescent="0.25">
      <c r="A5">
        <f>'Purchased Power Model '!A152</f>
        <v>2009</v>
      </c>
      <c r="B5" s="6">
        <f>'Purchased Power Model '!B152</f>
        <v>76016629</v>
      </c>
      <c r="C5" s="6">
        <f>'Purchased Power Model '!L152</f>
        <v>77177027.372777522</v>
      </c>
      <c r="D5" s="35">
        <f t="shared" si="0"/>
        <v>1160398.3727775216</v>
      </c>
      <c r="E5" s="5">
        <f t="shared" si="1"/>
        <v>1.5265059606596363E-2</v>
      </c>
      <c r="F5" s="45">
        <f t="shared" si="3"/>
        <v>1.0472038427276222</v>
      </c>
      <c r="G5" s="85">
        <f t="shared" si="2"/>
        <v>72428352</v>
      </c>
      <c r="H5" s="25">
        <v>33747939</v>
      </c>
      <c r="I5" s="25">
        <v>16172932</v>
      </c>
      <c r="J5" s="25">
        <v>21993284</v>
      </c>
      <c r="K5" s="25">
        <v>42486</v>
      </c>
      <c r="L5" s="25">
        <v>471711</v>
      </c>
    </row>
    <row r="6" spans="1:12" x14ac:dyDescent="0.25">
      <c r="A6">
        <f>'Purchased Power Model '!A153</f>
        <v>2010</v>
      </c>
      <c r="B6" s="6">
        <f>'Purchased Power Model '!B153</f>
        <v>74719842</v>
      </c>
      <c r="C6" s="6">
        <f>'Purchased Power Model '!L153</f>
        <v>75440016.775785387</v>
      </c>
      <c r="D6" s="35">
        <f t="shared" si="0"/>
        <v>720174.77578538656</v>
      </c>
      <c r="E6" s="5">
        <f t="shared" si="1"/>
        <v>9.6383337612703547E-3</v>
      </c>
      <c r="F6" s="45">
        <f t="shared" si="3"/>
        <v>1.04872850962399</v>
      </c>
      <c r="G6" s="85">
        <f t="shared" si="2"/>
        <v>71078855.459999993</v>
      </c>
      <c r="H6" s="25">
        <v>31178902</v>
      </c>
      <c r="I6" s="25">
        <v>14190567</v>
      </c>
      <c r="J6" s="25">
        <v>25204983</v>
      </c>
      <c r="K6" s="25">
        <v>35962.46</v>
      </c>
      <c r="L6" s="25">
        <v>468441</v>
      </c>
    </row>
    <row r="7" spans="1:12" x14ac:dyDescent="0.25">
      <c r="A7">
        <f>'Purchased Power Model '!A154</f>
        <v>2011</v>
      </c>
      <c r="B7" s="6">
        <f>'Purchased Power Model '!B154</f>
        <v>76399313</v>
      </c>
      <c r="C7" s="6">
        <f>'Purchased Power Model '!L154</f>
        <v>75267547.298117638</v>
      </c>
      <c r="D7" s="35">
        <f t="shared" si="0"/>
        <v>-1131765.7018823624</v>
      </c>
      <c r="E7" s="5">
        <f t="shared" si="1"/>
        <v>-1.4813820405457865E-2</v>
      </c>
      <c r="F7" s="45">
        <f t="shared" si="3"/>
        <v>1.0432056241134</v>
      </c>
      <c r="G7" s="85">
        <f t="shared" si="2"/>
        <v>73098433</v>
      </c>
      <c r="H7" s="25">
        <v>32694600</v>
      </c>
      <c r="I7" s="25">
        <v>12624003</v>
      </c>
      <c r="J7" s="25">
        <v>27265781</v>
      </c>
      <c r="K7" s="25">
        <v>15597</v>
      </c>
      <c r="L7" s="25">
        <v>498452</v>
      </c>
    </row>
    <row r="8" spans="1:12" x14ac:dyDescent="0.25">
      <c r="A8">
        <f>'Purchased Power Model '!A155</f>
        <v>2012</v>
      </c>
      <c r="B8" s="25">
        <f>'Purchased Power Model '!B155</f>
        <v>75601634</v>
      </c>
      <c r="C8" s="6">
        <f>'Purchased Power Model '!L155</f>
        <v>71564079.895249054</v>
      </c>
      <c r="D8" s="35">
        <f t="shared" si="0"/>
        <v>-4037554.1047509462</v>
      </c>
      <c r="E8" s="5">
        <f t="shared" si="1"/>
        <v>-5.3405646030758355E-2</v>
      </c>
      <c r="F8" s="45">
        <f t="shared" si="3"/>
        <v>1.0486598986736186</v>
      </c>
      <c r="G8" s="85">
        <f t="shared" si="2"/>
        <v>71922866.150000006</v>
      </c>
      <c r="H8" s="25">
        <v>32285777.940000001</v>
      </c>
      <c r="I8" s="25">
        <v>11883434.99</v>
      </c>
      <c r="J8" s="25">
        <v>27280733</v>
      </c>
      <c r="K8" s="25">
        <v>4704.6000000000004</v>
      </c>
      <c r="L8" s="25">
        <v>468215.62</v>
      </c>
    </row>
    <row r="9" spans="1:12" x14ac:dyDescent="0.25">
      <c r="A9">
        <f>'Purchased Power Model '!A156</f>
        <v>2013</v>
      </c>
      <c r="B9" s="25">
        <f>'Purchased Power Model '!B156</f>
        <v>87692322.840000004</v>
      </c>
      <c r="C9" s="6">
        <f>'Purchased Power Model '!L156</f>
        <v>88405736.764243901</v>
      </c>
      <c r="D9" s="35">
        <f t="shared" si="0"/>
        <v>713413.9242438972</v>
      </c>
      <c r="E9" s="5">
        <f t="shared" si="1"/>
        <v>8.1354205378453073E-3</v>
      </c>
      <c r="F9" s="45">
        <f t="shared" si="3"/>
        <v>1.0515824112477119</v>
      </c>
      <c r="G9" s="85">
        <f t="shared" si="2"/>
        <v>83168941.38000001</v>
      </c>
      <c r="H9" s="25">
        <v>36371058.950000003</v>
      </c>
      <c r="I9" s="25">
        <v>12926387.779999999</v>
      </c>
      <c r="J9" s="25">
        <v>33352061.699999999</v>
      </c>
      <c r="K9" s="25">
        <v>2154</v>
      </c>
      <c r="L9" s="25">
        <v>517278.95</v>
      </c>
    </row>
    <row r="10" spans="1:12" x14ac:dyDescent="0.25">
      <c r="A10">
        <f>'Purchased Power Model '!A157</f>
        <v>2014</v>
      </c>
      <c r="B10" s="6">
        <f>'Purchased Power Model '!B157</f>
        <v>89519316.590000004</v>
      </c>
      <c r="C10" s="6">
        <f>'Purchased Power Model '!L157</f>
        <v>90214179.810000777</v>
      </c>
      <c r="D10" s="35">
        <f t="shared" si="0"/>
        <v>694863.22000077367</v>
      </c>
      <c r="E10" s="5">
        <f t="shared" si="1"/>
        <v>7.7621595703557377E-3</v>
      </c>
      <c r="F10" s="45">
        <f t="shared" si="3"/>
        <v>1.0443611971278568</v>
      </c>
      <c r="G10" s="85">
        <f t="shared" si="2"/>
        <v>85548132.539999992</v>
      </c>
      <c r="H10" s="25">
        <v>37207390.200000003</v>
      </c>
      <c r="I10" s="25">
        <v>13500465.83</v>
      </c>
      <c r="J10" s="25">
        <v>34318920.789999999</v>
      </c>
      <c r="K10" s="25">
        <v>2235</v>
      </c>
      <c r="L10" s="25">
        <v>519120.72</v>
      </c>
    </row>
    <row r="11" spans="1:12" x14ac:dyDescent="0.25">
      <c r="A11">
        <f>'Purchased Power Model '!A158</f>
        <v>2015</v>
      </c>
      <c r="B11" s="6">
        <f>'Purchased Power Model '!B158</f>
        <v>83393450.549999982</v>
      </c>
      <c r="C11" s="6">
        <f>'Purchased Power Model '!L158</f>
        <v>82676462.805198818</v>
      </c>
      <c r="D11" s="35">
        <f t="shared" si="0"/>
        <v>-716987.74480116367</v>
      </c>
      <c r="E11" s="5">
        <f t="shared" si="1"/>
        <v>-8.597650535772966E-3</v>
      </c>
      <c r="F11" s="45">
        <f t="shared" si="3"/>
        <v>1.0486240019240933</v>
      </c>
      <c r="G11" s="85">
        <f t="shared" si="2"/>
        <v>79338527.25</v>
      </c>
      <c r="H11" s="25">
        <v>33751334.479999997</v>
      </c>
      <c r="I11" s="25">
        <v>12579055.51</v>
      </c>
      <c r="J11" s="25">
        <v>32657664.609999999</v>
      </c>
      <c r="K11" s="25">
        <v>1488</v>
      </c>
      <c r="L11" s="25">
        <v>348984.65</v>
      </c>
    </row>
    <row r="12" spans="1:12" x14ac:dyDescent="0.25">
      <c r="A12">
        <f>'Purchased Power Model '!A159</f>
        <v>2016</v>
      </c>
      <c r="B12" s="6">
        <f>'Purchased Power Model '!B159</f>
        <v>75446074.609999999</v>
      </c>
      <c r="C12" s="6">
        <f>'Purchased Power Model '!L159</f>
        <v>75084958.765632868</v>
      </c>
      <c r="D12" s="35">
        <f t="shared" si="0"/>
        <v>-361115.84436713159</v>
      </c>
      <c r="E12" s="5">
        <f t="shared" si="1"/>
        <v>-4.7864099787010986E-3</v>
      </c>
      <c r="F12" s="45">
        <f t="shared" si="3"/>
        <v>1.0613733296786558</v>
      </c>
      <c r="G12" s="85">
        <f t="shared" si="2"/>
        <v>70815697.800000012</v>
      </c>
      <c r="H12" s="25">
        <v>32668224.870000001</v>
      </c>
      <c r="I12" s="25">
        <v>11845271.470000001</v>
      </c>
      <c r="J12" s="25">
        <v>26151604.510000002</v>
      </c>
      <c r="K12" s="25">
        <v>0</v>
      </c>
      <c r="L12" s="25">
        <v>150596.95000000001</v>
      </c>
    </row>
    <row r="13" spans="1:12" x14ac:dyDescent="0.25">
      <c r="A13">
        <f>'Purchased Power Model '!A160</f>
        <v>2017</v>
      </c>
      <c r="B13" s="6"/>
      <c r="C13" s="6">
        <f>'Purchased Power Model '!L160</f>
        <v>76703579.476203829</v>
      </c>
      <c r="G13" s="25">
        <f>C13/$F$17</f>
        <v>73118100.824606568</v>
      </c>
    </row>
    <row r="14" spans="1:12" x14ac:dyDescent="0.25">
      <c r="A14">
        <f>'Purchased Power Model '!A161</f>
        <v>2018</v>
      </c>
      <c r="B14" s="6"/>
      <c r="C14" s="6">
        <f>'Purchased Power Model '!L161</f>
        <v>76703579.476203829</v>
      </c>
      <c r="G14" s="25">
        <f>C14/$F$17</f>
        <v>73118100.824606568</v>
      </c>
    </row>
    <row r="15" spans="1:12" x14ac:dyDescent="0.25">
      <c r="B15" s="6"/>
      <c r="C15" s="6"/>
      <c r="G15" s="25"/>
    </row>
    <row r="17" spans="1:12" ht="13" x14ac:dyDescent="0.3">
      <c r="A17" s="18" t="s">
        <v>14</v>
      </c>
      <c r="F17" s="45">
        <f>AVERAGE(F3:F12)</f>
        <v>1.0490368131989369</v>
      </c>
    </row>
    <row r="18" spans="1:12" x14ac:dyDescent="0.25">
      <c r="E18" s="21"/>
      <c r="F18" s="21" t="s">
        <v>72</v>
      </c>
      <c r="G18" s="25"/>
    </row>
    <row r="20" spans="1:12" ht="13" x14ac:dyDescent="0.3">
      <c r="A20" s="20" t="s">
        <v>16</v>
      </c>
      <c r="B20" s="12"/>
    </row>
    <row r="22" spans="1:12" x14ac:dyDescent="0.25">
      <c r="A22">
        <f>A3</f>
        <v>2007</v>
      </c>
      <c r="H22" s="25">
        <f>H3/'Rate Class Customer Model'!B3</f>
        <v>14143.998275862068</v>
      </c>
      <c r="I22" s="25">
        <f>I3/'Rate Class Customer Model'!C3</f>
        <v>37796.496296296296</v>
      </c>
      <c r="J22" s="25">
        <f>J3/'Rate Class Customer Model'!D3</f>
        <v>1000604.6190476191</v>
      </c>
      <c r="K22" s="25">
        <f>K3/'Rate Class Customer Model'!E3</f>
        <v>3268.1538461538462</v>
      </c>
      <c r="L22" s="25">
        <f>L3/'Rate Class Customer Model'!F3</f>
        <v>918.54596622889301</v>
      </c>
    </row>
    <row r="23" spans="1:12" x14ac:dyDescent="0.25">
      <c r="A23">
        <f t="shared" ref="A23:A31" si="4">A4</f>
        <v>2008</v>
      </c>
      <c r="H23" s="25">
        <f>H4/'Rate Class Customer Model'!B4</f>
        <v>14396.769824260609</v>
      </c>
      <c r="I23" s="25">
        <f>I4/'Rate Class Customer Model'!C4</f>
        <v>37583.782178217822</v>
      </c>
      <c r="J23" s="25">
        <f>J4/'Rate Class Customer Model'!D4</f>
        <v>669364.09756097558</v>
      </c>
      <c r="K23" s="25">
        <f>K4/'Rate Class Customer Model'!E4</f>
        <v>3268.1538461538462</v>
      </c>
      <c r="L23" s="25">
        <f>L4/'Rate Class Customer Model'!F4</f>
        <v>928.88533834586462</v>
      </c>
    </row>
    <row r="24" spans="1:12" x14ac:dyDescent="0.25">
      <c r="A24">
        <f t="shared" si="4"/>
        <v>2009</v>
      </c>
      <c r="H24" s="25">
        <f>H5/'Rate Class Customer Model'!B5</f>
        <v>14515.242580645161</v>
      </c>
      <c r="I24" s="25">
        <f>I5/'Rate Class Customer Model'!C5</f>
        <v>40032.009900990102</v>
      </c>
      <c r="J24" s="25">
        <f>J5/'Rate Class Customer Model'!D5</f>
        <v>549832.1</v>
      </c>
      <c r="K24" s="25">
        <f>K5/'Rate Class Customer Model'!E5</f>
        <v>3268.1538461538462</v>
      </c>
      <c r="L24" s="25">
        <f>L5/'Rate Class Customer Model'!F5</f>
        <v>883.35393258426961</v>
      </c>
    </row>
    <row r="25" spans="1:12" x14ac:dyDescent="0.25">
      <c r="A25">
        <f t="shared" si="4"/>
        <v>2010</v>
      </c>
      <c r="H25" s="25">
        <f>H6/'Rate Class Customer Model'!B6</f>
        <v>13398.754619681995</v>
      </c>
      <c r="I25" s="25">
        <f>I6/'Rate Class Customer Model'!C6</f>
        <v>35212.325062034739</v>
      </c>
      <c r="J25" s="25">
        <f>J6/'Rate Class Customer Model'!D6</f>
        <v>560110.73333333328</v>
      </c>
      <c r="K25" s="25">
        <f>K6/'Rate Class Customer Model'!E6</f>
        <v>3995.8288888888887</v>
      </c>
      <c r="L25" s="25">
        <f>L6/'Rate Class Customer Model'!F6</f>
        <v>880.52819548872185</v>
      </c>
    </row>
    <row r="26" spans="1:12" x14ac:dyDescent="0.25">
      <c r="A26">
        <f t="shared" si="4"/>
        <v>2011</v>
      </c>
      <c r="H26" s="25">
        <f>H7/'Rate Class Customer Model'!B7</f>
        <v>13978.024796921762</v>
      </c>
      <c r="I26" s="25">
        <f>I7/'Rate Class Customer Model'!C7</f>
        <v>32204.089285714286</v>
      </c>
      <c r="J26" s="25">
        <f>J7/'Rate Class Customer Model'!D7</f>
        <v>545315.62</v>
      </c>
      <c r="K26" s="25">
        <f>K7/'Rate Class Customer Model'!E7</f>
        <v>5199</v>
      </c>
      <c r="L26" s="25">
        <f>L7/'Rate Class Customer Model'!F7</f>
        <v>936.93984962406012</v>
      </c>
    </row>
    <row r="27" spans="1:12" x14ac:dyDescent="0.25">
      <c r="A27">
        <f t="shared" si="4"/>
        <v>2012</v>
      </c>
      <c r="B27" s="92"/>
      <c r="C27" s="92"/>
      <c r="D27" s="92"/>
      <c r="E27" s="92"/>
      <c r="F27" s="92"/>
      <c r="H27" s="25">
        <f>H8/'Rate Class Customer Model'!B8</f>
        <v>13772.327157939641</v>
      </c>
      <c r="I27" s="25">
        <f>I8/'Rate Class Customer Model'!C8</f>
        <v>30103.698518049398</v>
      </c>
      <c r="J27" s="25">
        <f>J8/'Rate Class Customer Model'!D8</f>
        <v>527163.92270531401</v>
      </c>
      <c r="K27" s="25">
        <f>K8/'Rate Class Customer Model'!E8</f>
        <v>2352.3000000000002</v>
      </c>
      <c r="L27" s="25">
        <f>L8/'Rate Class Customer Model'!F8</f>
        <v>880.10454887218043</v>
      </c>
    </row>
    <row r="28" spans="1:12" x14ac:dyDescent="0.25">
      <c r="A28">
        <f t="shared" si="4"/>
        <v>2013</v>
      </c>
      <c r="B28" s="92"/>
      <c r="C28" s="92"/>
      <c r="D28" s="92"/>
      <c r="E28" s="92"/>
      <c r="F28" s="92"/>
      <c r="H28" s="25">
        <f>H9/'Rate Class Customer Model'!B9</f>
        <v>15501.78324986681</v>
      </c>
      <c r="I28" s="25">
        <f>I9/'Rate Class Customer Model'!C9</f>
        <v>32309.238358675277</v>
      </c>
      <c r="J28" s="25">
        <f>J9/'Rate Class Customer Model'!D9</f>
        <v>628296.29576138139</v>
      </c>
      <c r="K28" s="25">
        <f>K9/'Rate Class Customer Model'!E9</f>
        <v>2154</v>
      </c>
      <c r="L28" s="25">
        <f>L9/'Rate Class Customer Model'!F9</f>
        <v>972.32885338345864</v>
      </c>
    </row>
    <row r="29" spans="1:12" x14ac:dyDescent="0.25">
      <c r="A29">
        <f t="shared" si="4"/>
        <v>2014</v>
      </c>
      <c r="B29" s="92"/>
      <c r="C29" s="92"/>
      <c r="D29" s="92"/>
      <c r="E29" s="92"/>
      <c r="F29" s="92"/>
      <c r="H29" s="25">
        <f>H10/'Rate Class Customer Model'!B10</f>
        <v>15793.727711354793</v>
      </c>
      <c r="I29" s="25">
        <f>I10/'Rate Class Customer Model'!C10</f>
        <v>33423.888995254798</v>
      </c>
      <c r="J29" s="25">
        <f>J10/'Rate Class Customer Model'!D10</f>
        <v>657870.6860702876</v>
      </c>
      <c r="K29" s="25">
        <f>K10/'Rate Class Customer Model'!E10</f>
        <v>2235</v>
      </c>
      <c r="L29" s="25">
        <f>L10/'Rate Class Customer Model'!F10</f>
        <v>972.13617977528088</v>
      </c>
    </row>
    <row r="30" spans="1:12" x14ac:dyDescent="0.25">
      <c r="A30">
        <f t="shared" si="4"/>
        <v>2015</v>
      </c>
      <c r="B30" s="92"/>
      <c r="C30" s="92"/>
      <c r="D30" s="92"/>
      <c r="E30" s="92"/>
      <c r="F30" s="92"/>
      <c r="H30" s="25">
        <f>H11/'Rate Class Customer Model'!B11</f>
        <v>14321.134817014956</v>
      </c>
      <c r="I30" s="25">
        <f>I11/'Rate Class Customer Model'!C11</f>
        <v>31155.555442724457</v>
      </c>
      <c r="J30" s="25">
        <f>J11/'Rate Class Customer Model'!D11</f>
        <v>637222.72409756097</v>
      </c>
      <c r="K30" s="25">
        <f>K11/'Rate Class Customer Model'!E11</f>
        <v>2220.8955223880594</v>
      </c>
      <c r="L30" s="25">
        <f>L11/'Rate Class Customer Model'!F11</f>
        <v>655.9861842105264</v>
      </c>
    </row>
    <row r="31" spans="1:12" x14ac:dyDescent="0.25">
      <c r="A31">
        <f t="shared" si="4"/>
        <v>2016</v>
      </c>
      <c r="B31" s="92"/>
      <c r="C31" s="92"/>
      <c r="D31" s="92"/>
      <c r="E31" s="92"/>
      <c r="F31" s="92"/>
      <c r="H31" s="25">
        <f>H12/'Rate Class Customer Model'!B12</f>
        <v>13758.904199073424</v>
      </c>
      <c r="I31" s="25">
        <f>I12/'Rate Class Customer Model'!C12</f>
        <v>29459.742516062179</v>
      </c>
      <c r="J31" s="25">
        <f>J12/'Rate Class Customer Model'!D12</f>
        <v>517853.5546534654</v>
      </c>
      <c r="K31" s="25">
        <v>0</v>
      </c>
      <c r="L31" s="25">
        <f>L12/'Rate Class Customer Model'!F12</f>
        <v>283.61007532956688</v>
      </c>
    </row>
    <row r="32" spans="1:12" x14ac:dyDescent="0.25">
      <c r="A32">
        <f>A13</f>
        <v>2017</v>
      </c>
      <c r="H32" s="25">
        <f>H31*H46</f>
        <v>13758.904199073424</v>
      </c>
      <c r="I32" s="25">
        <f t="shared" ref="I32:L32" si="5">I31*I46</f>
        <v>29459.742516062179</v>
      </c>
      <c r="J32" s="25">
        <f t="shared" si="5"/>
        <v>517853.5546534654</v>
      </c>
      <c r="K32" s="25">
        <f t="shared" si="5"/>
        <v>0</v>
      </c>
      <c r="L32" s="25">
        <f t="shared" si="5"/>
        <v>283.61007532956688</v>
      </c>
    </row>
    <row r="33" spans="1:12" x14ac:dyDescent="0.25">
      <c r="A33">
        <f>A14</f>
        <v>2018</v>
      </c>
      <c r="H33" s="25">
        <f>H32*H46</f>
        <v>13758.904199073424</v>
      </c>
      <c r="I33" s="25">
        <f t="shared" ref="I33:L33" si="6">I32*I46</f>
        <v>29459.742516062179</v>
      </c>
      <c r="J33" s="25">
        <f t="shared" si="6"/>
        <v>517853.5546534654</v>
      </c>
      <c r="K33" s="25">
        <f t="shared" si="6"/>
        <v>0</v>
      </c>
      <c r="L33" s="25">
        <f t="shared" si="6"/>
        <v>283.61007532956688</v>
      </c>
    </row>
    <row r="35" spans="1:12" x14ac:dyDescent="0.25">
      <c r="A35" s="36">
        <v>2007</v>
      </c>
      <c r="D35" s="6"/>
      <c r="H35" s="23"/>
      <c r="I35" s="23"/>
      <c r="J35" s="23"/>
      <c r="K35" s="23"/>
      <c r="L35" s="23"/>
    </row>
    <row r="36" spans="1:12" x14ac:dyDescent="0.25">
      <c r="A36" s="36">
        <v>2008</v>
      </c>
      <c r="D36" s="6"/>
      <c r="H36" s="23">
        <f>H23/H22</f>
        <v>1.0178712937790666</v>
      </c>
      <c r="I36" s="23">
        <f t="shared" ref="I36:L36" si="7">I23/I22</f>
        <v>0.99437212072751524</v>
      </c>
      <c r="J36" s="23">
        <f t="shared" si="7"/>
        <v>0.66895963182548568</v>
      </c>
      <c r="K36" s="23">
        <f t="shared" si="7"/>
        <v>1</v>
      </c>
      <c r="L36" s="23">
        <f t="shared" si="7"/>
        <v>1.0112562381166619</v>
      </c>
    </row>
    <row r="37" spans="1:12" x14ac:dyDescent="0.25">
      <c r="A37" s="36">
        <v>2009</v>
      </c>
      <c r="D37" s="6"/>
      <c r="H37" s="23">
        <f t="shared" ref="H37:L44" si="8">H24/H23</f>
        <v>1.0082291206868439</v>
      </c>
      <c r="I37" s="23">
        <f t="shared" si="8"/>
        <v>1.0651405361802886</v>
      </c>
      <c r="J37" s="23">
        <f t="shared" si="8"/>
        <v>0.82142454607809789</v>
      </c>
      <c r="K37" s="23">
        <f t="shared" si="8"/>
        <v>1</v>
      </c>
      <c r="L37" s="23">
        <f t="shared" si="8"/>
        <v>0.95098274901972701</v>
      </c>
    </row>
    <row r="38" spans="1:12" x14ac:dyDescent="0.25">
      <c r="A38" s="36">
        <v>2010</v>
      </c>
      <c r="D38" s="6"/>
      <c r="H38" s="23">
        <f t="shared" si="8"/>
        <v>0.92308168776649258</v>
      </c>
      <c r="I38" s="23">
        <f t="shared" si="8"/>
        <v>0.87960422544669281</v>
      </c>
      <c r="J38" s="23">
        <f t="shared" si="8"/>
        <v>1.018694131050794</v>
      </c>
      <c r="K38" s="23">
        <f t="shared" si="8"/>
        <v>1.2226562998530235</v>
      </c>
      <c r="L38" s="23">
        <f t="shared" si="8"/>
        <v>0.99680112694208423</v>
      </c>
    </row>
    <row r="39" spans="1:12" x14ac:dyDescent="0.25">
      <c r="A39" s="36">
        <v>2011</v>
      </c>
      <c r="D39" s="6"/>
      <c r="H39" s="23">
        <f t="shared" si="8"/>
        <v>1.0432331357415003</v>
      </c>
      <c r="I39" s="23">
        <f t="shared" si="8"/>
        <v>0.91456866960586269</v>
      </c>
      <c r="J39" s="23">
        <f t="shared" si="8"/>
        <v>0.97358537793895761</v>
      </c>
      <c r="K39" s="23">
        <f t="shared" si="8"/>
        <v>1.3011067652212891</v>
      </c>
      <c r="L39" s="23">
        <f t="shared" si="8"/>
        <v>1.0640656987752992</v>
      </c>
    </row>
    <row r="40" spans="1:12" x14ac:dyDescent="0.25">
      <c r="A40" s="36">
        <v>2012</v>
      </c>
      <c r="B40" s="92"/>
      <c r="C40" s="92"/>
      <c r="D40" s="6"/>
      <c r="E40" s="92"/>
      <c r="F40" s="92"/>
      <c r="H40" s="23">
        <f t="shared" si="8"/>
        <v>0.98528421275748346</v>
      </c>
      <c r="I40" s="23">
        <f t="shared" si="8"/>
        <v>0.93477875592039728</v>
      </c>
      <c r="J40" s="23">
        <f t="shared" si="8"/>
        <v>0.96671341030963687</v>
      </c>
      <c r="K40" s="23">
        <f t="shared" si="8"/>
        <v>0.45245239469128684</v>
      </c>
      <c r="L40" s="23">
        <f t="shared" si="8"/>
        <v>0.93933943489042071</v>
      </c>
    </row>
    <row r="41" spans="1:12" x14ac:dyDescent="0.25">
      <c r="A41" s="36">
        <v>2013</v>
      </c>
      <c r="B41" s="92"/>
      <c r="C41" s="92"/>
      <c r="D41" s="6"/>
      <c r="E41" s="92"/>
      <c r="F41" s="92"/>
      <c r="H41" s="23">
        <f t="shared" si="8"/>
        <v>1.1255747174819437</v>
      </c>
      <c r="I41" s="23">
        <f t="shared" si="8"/>
        <v>1.0732647464996201</v>
      </c>
      <c r="J41" s="23">
        <f t="shared" si="8"/>
        <v>1.1918423638269355</v>
      </c>
      <c r="K41" s="23">
        <f t="shared" si="8"/>
        <v>0.91569952812141298</v>
      </c>
      <c r="L41" s="23">
        <f t="shared" si="8"/>
        <v>1.1047878966532556</v>
      </c>
    </row>
    <row r="42" spans="1:12" x14ac:dyDescent="0.25">
      <c r="A42" s="36">
        <v>2014</v>
      </c>
      <c r="B42" s="92"/>
      <c r="C42" s="92"/>
      <c r="D42" s="6"/>
      <c r="E42" s="92"/>
      <c r="F42" s="92"/>
      <c r="H42" s="23">
        <f t="shared" si="8"/>
        <v>1.018832959846119</v>
      </c>
      <c r="I42" s="23">
        <f t="shared" si="8"/>
        <v>1.0344994401974266</v>
      </c>
      <c r="J42" s="23">
        <f t="shared" si="8"/>
        <v>1.0470707698078459</v>
      </c>
      <c r="K42" s="23">
        <f t="shared" si="8"/>
        <v>1.0376044568245126</v>
      </c>
      <c r="L42" s="23">
        <f t="shared" si="8"/>
        <v>0.99980184316498755</v>
      </c>
    </row>
    <row r="43" spans="1:12" x14ac:dyDescent="0.25">
      <c r="A43" s="36">
        <v>2015</v>
      </c>
      <c r="B43" s="92"/>
      <c r="C43" s="92"/>
      <c r="D43" s="6"/>
      <c r="E43" s="92"/>
      <c r="F43" s="92"/>
      <c r="H43" s="23">
        <f t="shared" si="8"/>
        <v>0.90676090399601317</v>
      </c>
      <c r="I43" s="23">
        <f t="shared" si="8"/>
        <v>0.93213436195733002</v>
      </c>
      <c r="J43" s="23">
        <f t="shared" si="8"/>
        <v>0.96861395041620602</v>
      </c>
      <c r="K43" s="23">
        <f t="shared" si="8"/>
        <v>0.99368927176199529</v>
      </c>
      <c r="L43" s="23">
        <f t="shared" si="8"/>
        <v>0.67478836592848979</v>
      </c>
    </row>
    <row r="44" spans="1:12" x14ac:dyDescent="0.25">
      <c r="A44" s="36">
        <v>2016</v>
      </c>
      <c r="D44" s="6"/>
      <c r="E44" s="6"/>
      <c r="F44" s="6"/>
      <c r="H44" s="23">
        <f t="shared" si="8"/>
        <v>0.96074119648161227</v>
      </c>
      <c r="I44" s="23">
        <f t="shared" si="8"/>
        <v>0.94556948503839655</v>
      </c>
      <c r="J44" s="23">
        <f t="shared" si="8"/>
        <v>0.81267276741715866</v>
      </c>
      <c r="K44" s="23">
        <f t="shared" si="8"/>
        <v>0</v>
      </c>
      <c r="L44" s="23">
        <f t="shared" si="8"/>
        <v>0.43234153730065078</v>
      </c>
    </row>
    <row r="45" spans="1:12" x14ac:dyDescent="0.25">
      <c r="A45" s="36"/>
      <c r="B45" s="92"/>
      <c r="C45" s="92"/>
      <c r="D45" s="6"/>
      <c r="E45" s="6"/>
      <c r="F45" s="6"/>
      <c r="H45" s="23"/>
    </row>
    <row r="46" spans="1:12" x14ac:dyDescent="0.25">
      <c r="A46" t="s">
        <v>18</v>
      </c>
      <c r="D46" s="6"/>
      <c r="H46" s="23">
        <v>1</v>
      </c>
      <c r="I46" s="23">
        <v>1</v>
      </c>
      <c r="J46" s="23">
        <v>1</v>
      </c>
      <c r="K46" s="23">
        <v>1</v>
      </c>
      <c r="L46" s="23">
        <v>1</v>
      </c>
    </row>
    <row r="47" spans="1:12" x14ac:dyDescent="0.25">
      <c r="A47" s="3"/>
      <c r="D47" s="6"/>
      <c r="H47" s="12"/>
      <c r="I47" s="12"/>
    </row>
    <row r="48" spans="1:12" x14ac:dyDescent="0.25">
      <c r="A48" t="s">
        <v>15</v>
      </c>
      <c r="D48" s="6"/>
      <c r="H48" s="23">
        <f>GEOMEAN(H36:H44)</f>
        <v>0.99693756647220855</v>
      </c>
      <c r="I48" s="23">
        <f t="shared" ref="I48:L48" si="9">GEOMEAN(I36:I44)</f>
        <v>0.97269182774197716</v>
      </c>
      <c r="J48" s="23">
        <f t="shared" si="9"/>
        <v>0.92942863989446545</v>
      </c>
      <c r="K48" s="23"/>
      <c r="L48" s="23">
        <f t="shared" si="9"/>
        <v>0.87758904981204811</v>
      </c>
    </row>
    <row r="49" spans="1:15" x14ac:dyDescent="0.25">
      <c r="D49" s="6"/>
      <c r="H49" s="23"/>
      <c r="I49" s="23"/>
      <c r="J49" s="23"/>
      <c r="K49" s="23"/>
      <c r="L49" s="23"/>
    </row>
    <row r="50" spans="1:15" ht="13" x14ac:dyDescent="0.3">
      <c r="A50" s="18" t="s">
        <v>44</v>
      </c>
    </row>
    <row r="51" spans="1:15" x14ac:dyDescent="0.25">
      <c r="A51">
        <v>2017</v>
      </c>
      <c r="B51"/>
      <c r="C51"/>
      <c r="G51" s="35">
        <f>SUM(H51:L51)</f>
        <v>71440892.709573299</v>
      </c>
      <c r="H51" s="35">
        <f>H32*'Rate Class Customer Model'!B13</f>
        <v>32752361.187705006</v>
      </c>
      <c r="I51" s="35">
        <f>I32*'Rate Class Customer Model'!C13</f>
        <v>11845271.470000001</v>
      </c>
      <c r="J51" s="35">
        <f>J32*'Rate Class Customer Model'!D13</f>
        <v>26692663.101868287</v>
      </c>
      <c r="K51" s="35">
        <f>K32*'Rate Class Customer Model'!E13</f>
        <v>0</v>
      </c>
      <c r="L51" s="35">
        <f>L32*'Rate Class Customer Model'!F13</f>
        <v>150596.95000000001</v>
      </c>
      <c r="M51" s="35"/>
    </row>
    <row r="52" spans="1:15" x14ac:dyDescent="0.25">
      <c r="A52">
        <v>2018</v>
      </c>
      <c r="G52" s="35">
        <f>SUM(H52:L52)</f>
        <v>72077498.438118398</v>
      </c>
      <c r="H52" s="35">
        <f>H33*'Rate Class Customer Model'!B14</f>
        <v>32836714.196705159</v>
      </c>
      <c r="I52" s="35">
        <f>I33*'Rate Class Customer Model'!C14</f>
        <v>11845271.470000001</v>
      </c>
      <c r="J52" s="35">
        <f>J33*'Rate Class Customer Model'!D14</f>
        <v>27244915.82141323</v>
      </c>
      <c r="K52" s="35">
        <f>K33*'Rate Class Customer Model'!E14</f>
        <v>0</v>
      </c>
      <c r="L52" s="35">
        <f>L33*'Rate Class Customer Model'!F14</f>
        <v>150596.95000000001</v>
      </c>
      <c r="M52" s="35"/>
    </row>
    <row r="53" spans="1:15" x14ac:dyDescent="0.25">
      <c r="G53" s="35"/>
      <c r="H53" s="35"/>
      <c r="I53" s="35"/>
      <c r="J53" s="35"/>
      <c r="K53" s="35"/>
      <c r="L53" s="35"/>
      <c r="M53" s="35"/>
    </row>
    <row r="54" spans="1:15" ht="13" x14ac:dyDescent="0.3">
      <c r="A54" s="18" t="s">
        <v>43</v>
      </c>
      <c r="G54" s="35"/>
      <c r="H54" s="35"/>
      <c r="I54" s="35"/>
      <c r="J54" s="35"/>
      <c r="K54" s="35"/>
      <c r="L54" s="35"/>
      <c r="M54" s="35" t="s">
        <v>17</v>
      </c>
    </row>
    <row r="55" spans="1:15" x14ac:dyDescent="0.25">
      <c r="A55">
        <v>2017</v>
      </c>
      <c r="G55" s="88">
        <f>G13</f>
        <v>73118100.824606568</v>
      </c>
      <c r="H55" s="35">
        <f>H51+H63-H71</f>
        <v>33524773.252216704</v>
      </c>
      <c r="I55" s="35">
        <f t="shared" ref="I55:L55" si="10">I51+I63-I71</f>
        <v>12143659.082122359</v>
      </c>
      <c r="J55" s="35">
        <f t="shared" si="10"/>
        <v>26945571.540267501</v>
      </c>
      <c r="K55" s="35">
        <f t="shared" si="10"/>
        <v>0</v>
      </c>
      <c r="L55" s="35">
        <f t="shared" si="10"/>
        <v>150596.95000000001</v>
      </c>
      <c r="M55" s="35">
        <f>SUM(H55:L55)</f>
        <v>72764600.824606568</v>
      </c>
      <c r="N55" s="35">
        <f>M55-G55</f>
        <v>-353500</v>
      </c>
      <c r="O55" s="6">
        <f>N55+M71</f>
        <v>0</v>
      </c>
    </row>
    <row r="56" spans="1:15" x14ac:dyDescent="0.25">
      <c r="A56">
        <v>2018</v>
      </c>
      <c r="G56" s="88">
        <f>G14</f>
        <v>73118100.824606568</v>
      </c>
      <c r="H56" s="35">
        <f>H52+H64-H72</f>
        <v>32918745.903764922</v>
      </c>
      <c r="I56" s="35">
        <f t="shared" ref="I56:L56" si="11">I52+I64-I72</f>
        <v>11931507.783663193</v>
      </c>
      <c r="J56" s="35">
        <f t="shared" si="11"/>
        <v>27063250.187178444</v>
      </c>
      <c r="K56" s="35">
        <f t="shared" si="11"/>
        <v>0</v>
      </c>
      <c r="L56" s="35">
        <f t="shared" si="11"/>
        <v>150596.95000000001</v>
      </c>
      <c r="M56" s="35">
        <f>SUM(H56:L56)</f>
        <v>72064100.824606568</v>
      </c>
      <c r="N56" s="35">
        <f>M56-G56</f>
        <v>-1054000</v>
      </c>
      <c r="O56" s="6">
        <f>N56+M72</f>
        <v>0</v>
      </c>
    </row>
    <row r="57" spans="1:15" x14ac:dyDescent="0.25">
      <c r="G57" s="35"/>
      <c r="H57" s="35"/>
      <c r="I57" s="35"/>
      <c r="J57" s="35"/>
      <c r="K57" s="35"/>
      <c r="L57" s="35"/>
      <c r="M57" s="35"/>
    </row>
    <row r="58" spans="1:15" x14ac:dyDescent="0.25">
      <c r="A58" s="44" t="s">
        <v>45</v>
      </c>
      <c r="G58" s="35"/>
      <c r="H58" s="89">
        <f>(100%+J58)/2</f>
        <v>0.67670219954584654</v>
      </c>
      <c r="I58" s="89">
        <f>H58</f>
        <v>0.67670219954584654</v>
      </c>
      <c r="J58" s="89">
        <f>'[13]Data summary'!$F$33</f>
        <v>0.35340439909169313</v>
      </c>
      <c r="K58" s="89"/>
      <c r="L58" s="89"/>
      <c r="M58" s="35" t="s">
        <v>17</v>
      </c>
    </row>
    <row r="59" spans="1:15" x14ac:dyDescent="0.25">
      <c r="A59">
        <v>2017</v>
      </c>
      <c r="G59" s="35">
        <f>G55-G51</f>
        <v>1677208.1150332689</v>
      </c>
      <c r="H59" s="35">
        <f>H51*H58</f>
        <v>22163594.856039993</v>
      </c>
      <c r="I59" s="35">
        <f>I51*I58</f>
        <v>8015721.2579666637</v>
      </c>
      <c r="J59" s="35">
        <f>J51*J58</f>
        <v>9433304.5636727717</v>
      </c>
      <c r="K59" s="35">
        <f>K51*K58</f>
        <v>0</v>
      </c>
      <c r="L59" s="35">
        <f>L51*L58</f>
        <v>0</v>
      </c>
      <c r="M59" s="35">
        <f>SUM(H59:L59)</f>
        <v>39612620.677679427</v>
      </c>
    </row>
    <row r="60" spans="1:15" x14ac:dyDescent="0.25">
      <c r="A60">
        <v>2018</v>
      </c>
      <c r="G60" s="35">
        <f>G56-G52</f>
        <v>1040602.3864881694</v>
      </c>
      <c r="H60" s="35">
        <f>H52*H58</f>
        <v>22220676.722768705</v>
      </c>
      <c r="I60" s="35">
        <f>I52*I58</f>
        <v>8015721.2579666637</v>
      </c>
      <c r="J60" s="35">
        <f>J52*J58</f>
        <v>9628473.1041703057</v>
      </c>
      <c r="K60" s="35">
        <f>K52*K58</f>
        <v>0</v>
      </c>
      <c r="L60" s="35">
        <f>L52*L58</f>
        <v>0</v>
      </c>
      <c r="M60" s="35">
        <f>SUM(H60:L60)</f>
        <v>39864871.084905677</v>
      </c>
    </row>
    <row r="61" spans="1:15" ht="12" customHeight="1" x14ac:dyDescent="0.25">
      <c r="G61" s="35"/>
      <c r="H61" s="35"/>
      <c r="I61" s="35"/>
      <c r="J61" s="35"/>
      <c r="K61" s="35"/>
      <c r="L61" s="35"/>
      <c r="M61" s="35"/>
    </row>
    <row r="62" spans="1:15" x14ac:dyDescent="0.25">
      <c r="A62" t="s">
        <v>46</v>
      </c>
      <c r="G62" s="35"/>
      <c r="H62" s="35"/>
      <c r="I62" s="35"/>
      <c r="J62" s="35"/>
      <c r="K62" s="35"/>
      <c r="L62" s="35"/>
      <c r="M62" s="35"/>
    </row>
    <row r="63" spans="1:15" x14ac:dyDescent="0.25">
      <c r="A63">
        <v>2017</v>
      </c>
      <c r="G63" s="35"/>
      <c r="H63" s="35">
        <f>H59/$M$59*$G$59</f>
        <v>938412.06451169716</v>
      </c>
      <c r="I63" s="35">
        <f>I59/$M$59*$G$59</f>
        <v>339387.61212235817</v>
      </c>
      <c r="J63" s="35">
        <f>J59/$M$59*$G$59</f>
        <v>399408.43839921372</v>
      </c>
      <c r="K63" s="35">
        <f>K59/$M$59*$G$59</f>
        <v>0</v>
      </c>
      <c r="L63" s="35">
        <f>L59/$M$59*$G$59</f>
        <v>0</v>
      </c>
      <c r="M63" s="35">
        <f>SUM(H63:L63)</f>
        <v>1677208.1150332689</v>
      </c>
    </row>
    <row r="64" spans="1:15" x14ac:dyDescent="0.25">
      <c r="A64">
        <v>2018</v>
      </c>
      <c r="H64" s="35">
        <f>H60/$M$60*$G$60</f>
        <v>580031.70705976302</v>
      </c>
      <c r="I64" s="35">
        <f>I60/$M$60*$G$60</f>
        <v>209236.31366319262</v>
      </c>
      <c r="J64" s="35">
        <f>J60/$M$60*$G$60</f>
        <v>251334.36576521365</v>
      </c>
      <c r="K64" s="35">
        <f>K60/$M$60*$G$60</f>
        <v>0</v>
      </c>
      <c r="L64" s="35">
        <f>L60/$M$60*$G$60</f>
        <v>0</v>
      </c>
      <c r="M64" s="35">
        <f>SUM(H64:L64)</f>
        <v>1040602.3864881693</v>
      </c>
    </row>
    <row r="66" spans="1:13" x14ac:dyDescent="0.25">
      <c r="A66" s="67" t="s">
        <v>122</v>
      </c>
    </row>
    <row r="67" spans="1:13" x14ac:dyDescent="0.25">
      <c r="A67">
        <v>2017</v>
      </c>
      <c r="G67" s="35">
        <f>SUM(H67:J67)</f>
        <v>707000</v>
      </c>
      <c r="H67" s="35">
        <v>332000</v>
      </c>
      <c r="I67" s="35">
        <v>82000</v>
      </c>
      <c r="J67" s="35">
        <v>293000</v>
      </c>
      <c r="K67" s="35"/>
      <c r="L67" s="35"/>
      <c r="M67" s="35">
        <f>SUM(H67:L67)</f>
        <v>707000</v>
      </c>
    </row>
    <row r="68" spans="1:13" x14ac:dyDescent="0.25">
      <c r="A68">
        <v>2018</v>
      </c>
      <c r="G68" s="35">
        <f>SUM(H68:J68)</f>
        <v>694000</v>
      </c>
      <c r="H68" s="35">
        <v>332000</v>
      </c>
      <c r="I68" s="35">
        <v>82000</v>
      </c>
      <c r="J68" s="35">
        <v>280000</v>
      </c>
      <c r="K68" s="35"/>
      <c r="L68" s="35"/>
      <c r="M68" s="35">
        <f>SUM(H68:L68)</f>
        <v>694000</v>
      </c>
    </row>
    <row r="70" spans="1:13" x14ac:dyDescent="0.25">
      <c r="A70" s="67" t="s">
        <v>123</v>
      </c>
    </row>
    <row r="71" spans="1:13" x14ac:dyDescent="0.25">
      <c r="A71">
        <v>2017</v>
      </c>
      <c r="G71" s="6">
        <f>G67/2</f>
        <v>353500</v>
      </c>
      <c r="H71" s="6">
        <f>H67/2</f>
        <v>166000</v>
      </c>
      <c r="I71" s="6">
        <f t="shared" ref="I71:J71" si="12">I67/2</f>
        <v>41000</v>
      </c>
      <c r="J71" s="6">
        <f t="shared" si="12"/>
        <v>146500</v>
      </c>
      <c r="M71" s="35">
        <f>SUM(H71:L71)</f>
        <v>353500</v>
      </c>
    </row>
    <row r="72" spans="1:13" x14ac:dyDescent="0.25">
      <c r="A72">
        <v>2018</v>
      </c>
      <c r="G72" s="6">
        <f>G67+G68/2</f>
        <v>1054000</v>
      </c>
      <c r="H72" s="6">
        <f>H67+H68/2</f>
        <v>498000</v>
      </c>
      <c r="I72" s="6">
        <f t="shared" ref="I72:J72" si="13">I67+I68/2</f>
        <v>123000</v>
      </c>
      <c r="J72" s="6">
        <f t="shared" si="13"/>
        <v>433000</v>
      </c>
      <c r="M72" s="35">
        <f>SUM(H72:L72)</f>
        <v>1054000</v>
      </c>
    </row>
  </sheetData>
  <phoneticPr fontId="0" type="noConversion"/>
  <pageMargins left="0.38" right="0.75" top="0.73" bottom="0.74" header="0.5" footer="0.5"/>
  <pageSetup scale="77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5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7" sqref="C7"/>
    </sheetView>
  </sheetViews>
  <sheetFormatPr defaultRowHeight="12.5" x14ac:dyDescent="0.25"/>
  <cols>
    <col min="1" max="1" width="11" customWidth="1"/>
    <col min="2" max="2" width="15" style="6" customWidth="1"/>
    <col min="3" max="4" width="14.1796875" style="6" bestFit="1" customWidth="1"/>
    <col min="5" max="6" width="14.1796875" style="6" customWidth="1"/>
    <col min="7" max="8" width="12.7265625" style="6" bestFit="1" customWidth="1"/>
    <col min="9" max="9" width="11.7265625" style="6" bestFit="1" customWidth="1"/>
    <col min="10" max="10" width="10.7265625" style="6" bestFit="1" customWidth="1"/>
    <col min="11" max="12" width="9.1796875" style="6"/>
  </cols>
  <sheetData>
    <row r="1" spans="1:10" x14ac:dyDescent="0.25">
      <c r="B1" s="200" t="s">
        <v>117</v>
      </c>
      <c r="C1" s="201"/>
      <c r="D1" s="201"/>
      <c r="E1" s="201"/>
      <c r="F1" s="201"/>
      <c r="G1" s="202"/>
    </row>
    <row r="2" spans="1:10" x14ac:dyDescent="0.25">
      <c r="B2" s="9" t="str">
        <f>'Rate Class Energy Model'!H2</f>
        <v>Residential</v>
      </c>
      <c r="C2" s="9" t="str">
        <f>'Rate Class Energy Model'!I2</f>
        <v>GS&lt;50</v>
      </c>
      <c r="D2" s="9" t="str">
        <f>'Rate Class Energy Model'!J2</f>
        <v>GS&gt;50</v>
      </c>
      <c r="E2" s="9" t="str">
        <f>'Rate Class Energy Model'!K2</f>
        <v>USL</v>
      </c>
      <c r="F2" s="9" t="str">
        <f>'Rate Class Energy Model'!L2</f>
        <v>Streetlights</v>
      </c>
      <c r="G2" s="6" t="s">
        <v>10</v>
      </c>
    </row>
    <row r="3" spans="1:10" x14ac:dyDescent="0.25">
      <c r="A3" s="4">
        <v>2007</v>
      </c>
      <c r="B3" s="95">
        <f>2296+24</f>
        <v>2320</v>
      </c>
      <c r="C3" s="95">
        <f>398+7</f>
        <v>405</v>
      </c>
      <c r="D3" s="95">
        <v>42</v>
      </c>
      <c r="E3" s="25">
        <v>13</v>
      </c>
      <c r="F3" s="25">
        <v>533</v>
      </c>
      <c r="G3" s="25">
        <f t="shared" ref="G3:G12" si="0">SUM(B3:F3)</f>
        <v>3313</v>
      </c>
      <c r="J3"/>
    </row>
    <row r="4" spans="1:10" x14ac:dyDescent="0.25">
      <c r="A4" s="4">
        <v>2008</v>
      </c>
      <c r="B4" s="95">
        <f>2310+23</f>
        <v>2333</v>
      </c>
      <c r="C4" s="95">
        <f>396+8</f>
        <v>404</v>
      </c>
      <c r="D4" s="95">
        <v>41</v>
      </c>
      <c r="E4" s="25">
        <v>13</v>
      </c>
      <c r="F4" s="25">
        <v>532</v>
      </c>
      <c r="G4" s="25">
        <f t="shared" si="0"/>
        <v>3323</v>
      </c>
      <c r="J4"/>
    </row>
    <row r="5" spans="1:10" x14ac:dyDescent="0.25">
      <c r="A5" s="4">
        <v>2009</v>
      </c>
      <c r="B5" s="25">
        <f>2301+24</f>
        <v>2325</v>
      </c>
      <c r="C5" s="25">
        <f>396+8</f>
        <v>404</v>
      </c>
      <c r="D5" s="95">
        <v>40</v>
      </c>
      <c r="E5" s="25">
        <v>13</v>
      </c>
      <c r="F5" s="25">
        <v>534</v>
      </c>
      <c r="G5" s="25">
        <f t="shared" si="0"/>
        <v>3316</v>
      </c>
      <c r="J5"/>
    </row>
    <row r="6" spans="1:10" x14ac:dyDescent="0.25">
      <c r="A6" s="4">
        <v>2010</v>
      </c>
      <c r="B6" s="95">
        <f>2303+24</f>
        <v>2327</v>
      </c>
      <c r="C6" s="95">
        <f>395+8</f>
        <v>403</v>
      </c>
      <c r="D6" s="95">
        <v>45</v>
      </c>
      <c r="E6" s="25">
        <v>9</v>
      </c>
      <c r="F6" s="25">
        <v>532</v>
      </c>
      <c r="G6" s="25">
        <f t="shared" si="0"/>
        <v>3316</v>
      </c>
    </row>
    <row r="7" spans="1:10" x14ac:dyDescent="0.25">
      <c r="A7" s="4">
        <v>2011</v>
      </c>
      <c r="B7" s="95">
        <f>2313+26</f>
        <v>2339</v>
      </c>
      <c r="C7" s="95">
        <f>383+9</f>
        <v>392</v>
      </c>
      <c r="D7" s="95">
        <v>50</v>
      </c>
      <c r="E7" s="25">
        <v>3</v>
      </c>
      <c r="F7" s="25">
        <v>532</v>
      </c>
      <c r="G7" s="25">
        <f t="shared" si="0"/>
        <v>3316</v>
      </c>
    </row>
    <row r="8" spans="1:10" x14ac:dyDescent="0.25">
      <c r="A8" s="4">
        <v>2012</v>
      </c>
      <c r="B8" s="95">
        <f>AVERAGE('Res Cust'!B110:B121)+28</f>
        <v>2344.25</v>
      </c>
      <c r="C8" s="95">
        <f>AVERAGE('GS &lt; 50 kW Cust'!B110:B121)+9</f>
        <v>394.75</v>
      </c>
      <c r="D8" s="95">
        <f>AVERAGE('GS &gt; 50 kW Cust'!B110:B121)</f>
        <v>51.75</v>
      </c>
      <c r="E8" s="25">
        <v>2</v>
      </c>
      <c r="F8" s="25">
        <v>532</v>
      </c>
      <c r="G8" s="25">
        <f t="shared" si="0"/>
        <v>3324.75</v>
      </c>
    </row>
    <row r="9" spans="1:10" x14ac:dyDescent="0.25">
      <c r="A9" s="4">
        <v>2013</v>
      </c>
      <c r="B9" s="95">
        <f>AVERAGE('Res Cust'!B122:B133)+26</f>
        <v>2346.25</v>
      </c>
      <c r="C9" s="95">
        <f>AVERAGE('GS &lt; 50 kW Cust'!B122:B133)+9</f>
        <v>400.08333333333331</v>
      </c>
      <c r="D9" s="95">
        <f>AVERAGE('GS &gt; 50 kW Cust'!B122:B133)</f>
        <v>53.083333333333336</v>
      </c>
      <c r="E9" s="25">
        <v>1</v>
      </c>
      <c r="F9" s="25">
        <v>532</v>
      </c>
      <c r="G9" s="25">
        <f t="shared" si="0"/>
        <v>3332.416666666667</v>
      </c>
    </row>
    <row r="10" spans="1:10" x14ac:dyDescent="0.25">
      <c r="A10" s="4">
        <v>2014</v>
      </c>
      <c r="B10" s="95">
        <f>AVERAGE('Res Cust'!B134:B145)+26</f>
        <v>2355.8333333333335</v>
      </c>
      <c r="C10" s="95">
        <f>AVERAGE('GS &lt; 50 kW Cust'!B134:B145)+9</f>
        <v>403.91666666666669</v>
      </c>
      <c r="D10" s="95">
        <f>AVERAGE('GS &gt; 50 kW Cust'!B134:B145)</f>
        <v>52.166666666666664</v>
      </c>
      <c r="E10" s="25">
        <v>1</v>
      </c>
      <c r="F10" s="25">
        <v>534</v>
      </c>
      <c r="G10" s="25">
        <f t="shared" si="0"/>
        <v>3346.9166666666665</v>
      </c>
    </row>
    <row r="11" spans="1:10" x14ac:dyDescent="0.25">
      <c r="A11" s="4">
        <v>2015</v>
      </c>
      <c r="B11" s="95">
        <f>AVERAGE('Res Cust'!B146:B157)+27</f>
        <v>2356.75</v>
      </c>
      <c r="C11" s="95">
        <f>AVERAGE('GS &lt; 50 kW Cust'!B146:B157)+9</f>
        <v>403.75</v>
      </c>
      <c r="D11" s="95">
        <f>AVERAGE('GS &gt; 50 kW Cust'!B146:B157)</f>
        <v>51.25</v>
      </c>
      <c r="E11" s="25">
        <v>0.67</v>
      </c>
      <c r="F11" s="25">
        <v>532</v>
      </c>
      <c r="G11" s="25">
        <f t="shared" si="0"/>
        <v>3344.42</v>
      </c>
    </row>
    <row r="12" spans="1:10" x14ac:dyDescent="0.25">
      <c r="A12" s="4">
        <v>2016</v>
      </c>
      <c r="B12" s="95">
        <f>AVERAGE('Res Cust'!B158:B169)+26</f>
        <v>2374.3333333333335</v>
      </c>
      <c r="C12" s="95">
        <f>AVERAGE('GS &lt; 50 kW Cust'!B158:B169)+9</f>
        <v>402.08333333333331</v>
      </c>
      <c r="D12" s="95">
        <f>AVERAGE('GS &gt; 50 kW Cust'!B158:B169)</f>
        <v>50.5</v>
      </c>
      <c r="E12" s="25">
        <v>0</v>
      </c>
      <c r="F12" s="25">
        <v>531</v>
      </c>
      <c r="G12" s="25">
        <f t="shared" si="0"/>
        <v>3357.916666666667</v>
      </c>
    </row>
    <row r="13" spans="1:10" x14ac:dyDescent="0.25">
      <c r="A13" s="4">
        <v>2017</v>
      </c>
      <c r="B13" s="25">
        <f>B12*B28</f>
        <v>2380.4483782880525</v>
      </c>
      <c r="C13" s="25">
        <f t="shared" ref="C13:F13" si="1">C12*C28</f>
        <v>402.08333333333331</v>
      </c>
      <c r="D13" s="25">
        <f t="shared" si="1"/>
        <v>51.544810037521799</v>
      </c>
      <c r="E13" s="25">
        <f t="shared" si="1"/>
        <v>0</v>
      </c>
      <c r="F13" s="25">
        <f t="shared" si="1"/>
        <v>531</v>
      </c>
      <c r="G13" s="25">
        <f>SUM(B13:F13)</f>
        <v>3365.076521658908</v>
      </c>
    </row>
    <row r="14" spans="1:10" x14ac:dyDescent="0.25">
      <c r="A14" s="4">
        <v>2018</v>
      </c>
      <c r="B14" s="25">
        <f>B13*B28</f>
        <v>2386.5791724108744</v>
      </c>
      <c r="C14" s="25">
        <f t="shared" ref="C14:F14" si="2">C13*C28</f>
        <v>402.08333333333331</v>
      </c>
      <c r="D14" s="25">
        <f t="shared" si="2"/>
        <v>52.611236471370454</v>
      </c>
      <c r="E14" s="25">
        <f t="shared" si="2"/>
        <v>0</v>
      </c>
      <c r="F14" s="25">
        <f t="shared" si="2"/>
        <v>531</v>
      </c>
      <c r="G14" s="25">
        <f>SUM(B14:F14)</f>
        <v>3372.2737422155783</v>
      </c>
    </row>
    <row r="15" spans="1:10" ht="13" x14ac:dyDescent="0.3">
      <c r="A15" s="19"/>
    </row>
    <row r="16" spans="1:10" ht="13" x14ac:dyDescent="0.3">
      <c r="A16" s="18" t="s">
        <v>42</v>
      </c>
      <c r="B16" s="5"/>
      <c r="C16" s="5"/>
      <c r="D16" s="5"/>
      <c r="E16" s="5"/>
      <c r="F16" s="5"/>
    </row>
    <row r="17" spans="1:6" x14ac:dyDescent="0.25">
      <c r="A17" s="4">
        <v>2007</v>
      </c>
      <c r="B17" s="22"/>
      <c r="C17" s="22"/>
      <c r="D17" s="22"/>
      <c r="E17" s="22"/>
      <c r="F17" s="22"/>
    </row>
    <row r="18" spans="1:6" x14ac:dyDescent="0.25">
      <c r="A18" s="4">
        <v>2008</v>
      </c>
      <c r="B18" s="22">
        <f t="shared" ref="B18" si="3">B4/B3</f>
        <v>1.005603448275862</v>
      </c>
      <c r="C18" s="22">
        <f t="shared" ref="C18:F18" si="4">C4/C3</f>
        <v>0.9975308641975309</v>
      </c>
      <c r="D18" s="22">
        <f t="shared" si="4"/>
        <v>0.97619047619047616</v>
      </c>
      <c r="E18" s="22">
        <f t="shared" si="4"/>
        <v>1</v>
      </c>
      <c r="F18" s="22">
        <f t="shared" si="4"/>
        <v>0.99812382739212002</v>
      </c>
    </row>
    <row r="19" spans="1:6" x14ac:dyDescent="0.25">
      <c r="A19" s="4">
        <v>2009</v>
      </c>
      <c r="B19" s="22">
        <f t="shared" ref="B19:F19" si="5">B5/B4</f>
        <v>0.99657093870552937</v>
      </c>
      <c r="C19" s="22">
        <f t="shared" si="5"/>
        <v>1</v>
      </c>
      <c r="D19" s="22">
        <f t="shared" si="5"/>
        <v>0.97560975609756095</v>
      </c>
      <c r="E19" s="22">
        <f t="shared" si="5"/>
        <v>1</v>
      </c>
      <c r="F19" s="22">
        <f t="shared" si="5"/>
        <v>1.0037593984962405</v>
      </c>
    </row>
    <row r="20" spans="1:6" x14ac:dyDescent="0.25">
      <c r="A20" s="4">
        <v>2010</v>
      </c>
      <c r="B20" s="22">
        <f t="shared" ref="B20:F20" si="6">B6/B5</f>
        <v>1.0008602150537635</v>
      </c>
      <c r="C20" s="22">
        <f t="shared" si="6"/>
        <v>0.99752475247524752</v>
      </c>
      <c r="D20" s="22">
        <f t="shared" si="6"/>
        <v>1.125</v>
      </c>
      <c r="E20" s="22">
        <f t="shared" si="6"/>
        <v>0.69230769230769229</v>
      </c>
      <c r="F20" s="22">
        <f t="shared" si="6"/>
        <v>0.99625468164794007</v>
      </c>
    </row>
    <row r="21" spans="1:6" x14ac:dyDescent="0.25">
      <c r="A21" s="4">
        <v>2011</v>
      </c>
      <c r="B21" s="22">
        <f t="shared" ref="B21:F21" si="7">B7/B6</f>
        <v>1.0051568543188656</v>
      </c>
      <c r="C21" s="22">
        <f t="shared" si="7"/>
        <v>0.97270471464019848</v>
      </c>
      <c r="D21" s="22">
        <f t="shared" si="7"/>
        <v>1.1111111111111112</v>
      </c>
      <c r="E21" s="22">
        <f t="shared" si="7"/>
        <v>0.33333333333333331</v>
      </c>
      <c r="F21" s="22">
        <f t="shared" si="7"/>
        <v>1</v>
      </c>
    </row>
    <row r="22" spans="1:6" x14ac:dyDescent="0.25">
      <c r="A22" s="4">
        <v>2012</v>
      </c>
      <c r="B22" s="22">
        <f t="shared" ref="B22:F22" si="8">B8/B7</f>
        <v>1.0022445489525438</v>
      </c>
      <c r="C22" s="22">
        <f t="shared" si="8"/>
        <v>1.0070153061224489</v>
      </c>
      <c r="D22" s="22">
        <f t="shared" si="8"/>
        <v>1.0349999999999999</v>
      </c>
      <c r="E22" s="22">
        <f t="shared" si="8"/>
        <v>0.66666666666666663</v>
      </c>
      <c r="F22" s="22">
        <f t="shared" si="8"/>
        <v>1</v>
      </c>
    </row>
    <row r="23" spans="1:6" x14ac:dyDescent="0.25">
      <c r="A23" s="4">
        <v>2013</v>
      </c>
      <c r="B23" s="22">
        <f t="shared" ref="B23:F23" si="9">B9/B8</f>
        <v>1.0008531513277168</v>
      </c>
      <c r="C23" s="22">
        <f t="shared" si="9"/>
        <v>1.0135106607557525</v>
      </c>
      <c r="D23" s="22">
        <f t="shared" si="9"/>
        <v>1.0257648953301128</v>
      </c>
      <c r="E23" s="22">
        <f t="shared" si="9"/>
        <v>0.5</v>
      </c>
      <c r="F23" s="22">
        <f t="shared" si="9"/>
        <v>1</v>
      </c>
    </row>
    <row r="24" spans="1:6" x14ac:dyDescent="0.25">
      <c r="A24" s="4">
        <v>2014</v>
      </c>
      <c r="B24" s="22">
        <f t="shared" ref="B24:F24" si="10">B10/B9</f>
        <v>1.0040845320546974</v>
      </c>
      <c r="C24" s="22">
        <f t="shared" si="10"/>
        <v>1.0095813372214124</v>
      </c>
      <c r="D24" s="22">
        <f t="shared" si="10"/>
        <v>0.98273155416012548</v>
      </c>
      <c r="E24" s="22">
        <f t="shared" si="10"/>
        <v>1</v>
      </c>
      <c r="F24" s="22">
        <f t="shared" si="10"/>
        <v>1.0037593984962405</v>
      </c>
    </row>
    <row r="25" spans="1:6" x14ac:dyDescent="0.25">
      <c r="A25" s="4">
        <v>2015</v>
      </c>
      <c r="B25" s="22">
        <f t="shared" ref="B25:F25" si="11">B11/B10</f>
        <v>1.0003891050583658</v>
      </c>
      <c r="C25" s="22">
        <f t="shared" si="11"/>
        <v>0.99958737363317507</v>
      </c>
      <c r="D25" s="22">
        <f t="shared" si="11"/>
        <v>0.98242811501597449</v>
      </c>
      <c r="E25" s="22">
        <f t="shared" si="11"/>
        <v>0.67</v>
      </c>
      <c r="F25" s="22">
        <f t="shared" si="11"/>
        <v>0.99625468164794007</v>
      </c>
    </row>
    <row r="26" spans="1:6" x14ac:dyDescent="0.25">
      <c r="A26" s="4">
        <v>2016</v>
      </c>
      <c r="B26" s="22">
        <f t="shared" ref="B26:F26" si="12">B12/B11</f>
        <v>1.0074608394328348</v>
      </c>
      <c r="C26" s="22">
        <f t="shared" si="12"/>
        <v>0.99587203302373573</v>
      </c>
      <c r="D26" s="22">
        <f t="shared" si="12"/>
        <v>0.98536585365853657</v>
      </c>
      <c r="E26" s="22">
        <f t="shared" si="12"/>
        <v>0</v>
      </c>
      <c r="F26" s="22">
        <f t="shared" si="12"/>
        <v>0.99812030075187974</v>
      </c>
    </row>
    <row r="27" spans="1:6" x14ac:dyDescent="0.25">
      <c r="A27" s="4"/>
      <c r="B27" s="22"/>
      <c r="C27" s="22"/>
      <c r="D27" s="22"/>
      <c r="E27" s="22"/>
      <c r="F27" s="22"/>
    </row>
    <row r="28" spans="1:6" x14ac:dyDescent="0.25">
      <c r="A28" t="s">
        <v>56</v>
      </c>
      <c r="B28" s="23">
        <f>B30</f>
        <v>1.0025754787118009</v>
      </c>
      <c r="C28" s="23">
        <v>1</v>
      </c>
      <c r="D28" s="23">
        <f>D30</f>
        <v>1.0206893076736989</v>
      </c>
      <c r="E28" s="23">
        <v>1</v>
      </c>
      <c r="F28" s="23">
        <v>1</v>
      </c>
    </row>
    <row r="29" spans="1:6" x14ac:dyDescent="0.25">
      <c r="B29" s="23"/>
      <c r="C29" s="23"/>
      <c r="D29" s="23"/>
      <c r="E29" s="23"/>
      <c r="F29" s="23"/>
    </row>
    <row r="30" spans="1:6" x14ac:dyDescent="0.25">
      <c r="A30" t="s">
        <v>15</v>
      </c>
      <c r="B30" s="23">
        <f>GEOMEAN(B18:B26)</f>
        <v>1.0025754787118009</v>
      </c>
      <c r="C30" s="23">
        <f t="shared" ref="C30:F30" si="13">GEOMEAN(C18:C26)</f>
        <v>0.99919724425632639</v>
      </c>
      <c r="D30" s="23">
        <f t="shared" si="13"/>
        <v>1.0206893076736989</v>
      </c>
      <c r="E30" s="23"/>
      <c r="F30" s="23">
        <f t="shared" si="13"/>
        <v>0.99958237579328635</v>
      </c>
    </row>
    <row r="31" spans="1:6" x14ac:dyDescent="0.25">
      <c r="A31" s="4"/>
      <c r="B31" s="23"/>
      <c r="C31" s="23"/>
      <c r="D31" s="23"/>
      <c r="E31" s="23"/>
      <c r="F31" s="23"/>
    </row>
    <row r="32" spans="1:6" x14ac:dyDescent="0.25">
      <c r="A32" s="4"/>
      <c r="B32" s="23"/>
      <c r="C32" s="23"/>
      <c r="D32" s="23"/>
      <c r="E32" s="23"/>
      <c r="F32" s="23"/>
    </row>
    <row r="33" spans="1:6" x14ac:dyDescent="0.25">
      <c r="A33" s="4"/>
      <c r="B33" s="23"/>
      <c r="C33" s="23"/>
      <c r="D33" s="23"/>
      <c r="E33" s="23"/>
      <c r="F33" s="23"/>
    </row>
    <row r="34" spans="1:6" x14ac:dyDescent="0.25">
      <c r="A34" s="4"/>
      <c r="B34" s="23"/>
      <c r="C34" s="23"/>
      <c r="D34" s="23"/>
      <c r="E34" s="23"/>
      <c r="F34" s="23"/>
    </row>
    <row r="35" spans="1:6" x14ac:dyDescent="0.25">
      <c r="A35" s="4"/>
      <c r="B35" s="23"/>
      <c r="C35" s="23"/>
      <c r="D35" s="23"/>
      <c r="E35" s="23"/>
      <c r="F35" s="23"/>
    </row>
    <row r="36" spans="1:6" x14ac:dyDescent="0.25">
      <c r="A36" s="4"/>
      <c r="B36" s="23"/>
      <c r="C36" s="23"/>
      <c r="D36" s="23"/>
      <c r="E36" s="23"/>
      <c r="F36" s="23"/>
    </row>
    <row r="37" spans="1:6" x14ac:dyDescent="0.25">
      <c r="A37" s="4"/>
      <c r="B37" s="23"/>
      <c r="C37" s="23"/>
      <c r="D37" s="23"/>
      <c r="E37" s="23"/>
      <c r="F37" s="23"/>
    </row>
    <row r="38" spans="1:6" x14ac:dyDescent="0.25">
      <c r="A38" s="4"/>
      <c r="B38" s="23"/>
      <c r="C38" s="23"/>
      <c r="D38" s="23"/>
      <c r="E38" s="23"/>
      <c r="F38" s="23"/>
    </row>
    <row r="39" spans="1:6" x14ac:dyDescent="0.25">
      <c r="B39" s="23"/>
      <c r="C39" s="23"/>
      <c r="D39" s="23"/>
      <c r="E39" s="23"/>
      <c r="F39" s="23"/>
    </row>
    <row r="40" spans="1:6" x14ac:dyDescent="0.25">
      <c r="B40" s="23"/>
      <c r="C40" s="23"/>
      <c r="D40" s="23"/>
      <c r="E40" s="23"/>
      <c r="F40" s="23"/>
    </row>
    <row r="41" spans="1:6" x14ac:dyDescent="0.25">
      <c r="B41" s="23"/>
      <c r="C41" s="23"/>
      <c r="D41" s="23"/>
      <c r="E41" s="23"/>
      <c r="F41" s="23"/>
    </row>
    <row r="42" spans="1:6" x14ac:dyDescent="0.25">
      <c r="B42" s="23"/>
      <c r="C42" s="23"/>
      <c r="D42" s="23"/>
      <c r="E42" s="23"/>
      <c r="F42" s="23"/>
    </row>
    <row r="43" spans="1:6" x14ac:dyDescent="0.25">
      <c r="B43" s="23"/>
      <c r="C43" s="23"/>
      <c r="D43" s="23"/>
      <c r="E43" s="23"/>
      <c r="F43" s="23"/>
    </row>
    <row r="44" spans="1:6" x14ac:dyDescent="0.25">
      <c r="B44" s="23"/>
      <c r="C44" s="23"/>
      <c r="D44" s="23"/>
      <c r="E44" s="23"/>
      <c r="F44" s="23"/>
    </row>
    <row r="45" spans="1:6" x14ac:dyDescent="0.25">
      <c r="B45" s="23"/>
      <c r="C45" s="23"/>
      <c r="D45" s="23"/>
      <c r="E45" s="23"/>
      <c r="F45" s="23"/>
    </row>
    <row r="46" spans="1:6" x14ac:dyDescent="0.25">
      <c r="B46" s="23"/>
      <c r="C46" s="23"/>
      <c r="D46" s="23"/>
      <c r="E46" s="23"/>
      <c r="F46" s="23"/>
    </row>
    <row r="47" spans="1:6" x14ac:dyDescent="0.25">
      <c r="B47" s="23"/>
      <c r="C47" s="23"/>
      <c r="D47" s="23"/>
      <c r="E47" s="23"/>
      <c r="F47" s="23"/>
    </row>
    <row r="48" spans="1:6" x14ac:dyDescent="0.25">
      <c r="B48" s="23"/>
      <c r="C48" s="23"/>
      <c r="D48" s="23"/>
      <c r="E48" s="23"/>
      <c r="F48" s="23"/>
    </row>
    <row r="49" spans="2:6" x14ac:dyDescent="0.25">
      <c r="B49" s="23"/>
      <c r="C49" s="23"/>
      <c r="D49" s="23"/>
      <c r="E49" s="23"/>
      <c r="F49" s="23"/>
    </row>
    <row r="50" spans="2:6" x14ac:dyDescent="0.25">
      <c r="B50" s="23"/>
      <c r="C50" s="23"/>
      <c r="D50" s="23"/>
      <c r="E50" s="23"/>
      <c r="F50" s="23"/>
    </row>
    <row r="51" spans="2:6" x14ac:dyDescent="0.25">
      <c r="B51" s="23"/>
      <c r="C51" s="23"/>
      <c r="D51" s="23"/>
      <c r="E51" s="23"/>
      <c r="F51" s="23"/>
    </row>
    <row r="52" spans="2:6" x14ac:dyDescent="0.25">
      <c r="B52" s="23"/>
      <c r="C52" s="23"/>
      <c r="D52" s="23"/>
      <c r="E52" s="23"/>
      <c r="F52" s="23"/>
    </row>
    <row r="53" spans="2:6" x14ac:dyDescent="0.25">
      <c r="B53" s="23"/>
      <c r="C53" s="23"/>
      <c r="D53" s="23"/>
      <c r="E53" s="23"/>
      <c r="F53" s="23"/>
    </row>
    <row r="54" spans="2:6" x14ac:dyDescent="0.25">
      <c r="B54" s="23"/>
      <c r="C54" s="23"/>
      <c r="D54" s="23"/>
      <c r="E54" s="23"/>
      <c r="F54" s="23"/>
    </row>
    <row r="55" spans="2:6" x14ac:dyDescent="0.25">
      <c r="B55" s="23"/>
      <c r="C55" s="23"/>
      <c r="D55" s="23"/>
      <c r="E55" s="23"/>
      <c r="F55" s="23"/>
    </row>
    <row r="56" spans="2:6" x14ac:dyDescent="0.25">
      <c r="B56" s="23"/>
      <c r="C56" s="23"/>
      <c r="D56" s="23"/>
      <c r="E56" s="23"/>
      <c r="F56" s="23"/>
    </row>
    <row r="57" spans="2:6" x14ac:dyDescent="0.25">
      <c r="B57" s="23"/>
      <c r="C57" s="23"/>
    </row>
    <row r="63" spans="2:6" x14ac:dyDescent="0.25">
      <c r="D63" s="24"/>
      <c r="E63" s="24"/>
      <c r="F63" s="24"/>
    </row>
    <row r="64" spans="2:6" x14ac:dyDescent="0.25">
      <c r="B64" s="24"/>
      <c r="C64" s="24"/>
      <c r="D64" s="24"/>
      <c r="E64" s="24"/>
      <c r="F64" s="24"/>
    </row>
    <row r="65" spans="2:3" x14ac:dyDescent="0.25">
      <c r="B65" s="24"/>
      <c r="C65" s="24"/>
    </row>
    <row r="83" spans="2:6" x14ac:dyDescent="0.25">
      <c r="D83" s="15"/>
      <c r="E83" s="15"/>
      <c r="F83" s="15"/>
    </row>
    <row r="84" spans="2:6" x14ac:dyDescent="0.25">
      <c r="B84" s="15"/>
      <c r="C84" s="15"/>
      <c r="D84" s="15"/>
      <c r="E84" s="15"/>
      <c r="F84" s="15"/>
    </row>
    <row r="85" spans="2:6" x14ac:dyDescent="0.25">
      <c r="B85" s="15"/>
      <c r="C85" s="15"/>
    </row>
  </sheetData>
  <mergeCells count="1">
    <mergeCell ref="B1:G1"/>
  </mergeCells>
  <phoneticPr fontId="0" type="noConversion"/>
  <pageMargins left="0.38" right="0.75" top="0.73" bottom="0.74" header="0.5" footer="0.5"/>
  <pageSetup scale="77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9</vt:i4>
      </vt:variant>
    </vt:vector>
  </HeadingPairs>
  <TitlesOfParts>
    <vt:vector size="22" baseType="lpstr">
      <vt:lpstr>Exhibit 3 Tables</vt:lpstr>
      <vt:lpstr>Summary</vt:lpstr>
      <vt:lpstr>Purchased Power Model </vt:lpstr>
      <vt:lpstr>Purchased Power Model WN</vt:lpstr>
      <vt:lpstr>Res Cust</vt:lpstr>
      <vt:lpstr>GS &lt; 50 kW Cust</vt:lpstr>
      <vt:lpstr>GS &gt; 50 kW Cust</vt:lpstr>
      <vt:lpstr>Rate Class Energy Model</vt:lpstr>
      <vt:lpstr>Rate Class Customer Model</vt:lpstr>
      <vt:lpstr>Rate Class Load Model</vt:lpstr>
      <vt:lpstr>CDM Activity</vt:lpstr>
      <vt:lpstr>Pulp Mill</vt:lpstr>
      <vt:lpstr>Weather Analysis</vt:lpstr>
      <vt:lpstr>'CDM Activity'!Print_Area</vt:lpstr>
      <vt:lpstr>'GS &lt; 50 kW Cust'!Print_Area</vt:lpstr>
      <vt:lpstr>'GS &gt; 50 kW Cust'!Print_Area</vt:lpstr>
      <vt:lpstr>'Purchased Power Model '!Print_Area</vt:lpstr>
      <vt:lpstr>'Purchased Power Model WN'!Print_Area</vt:lpstr>
      <vt:lpstr>'Rate Class Customer Model'!Print_Area</vt:lpstr>
      <vt:lpstr>'Rate Class Energy Model'!Print_Area</vt:lpstr>
      <vt:lpstr>'Rate Class Load Model'!Print_Area</vt:lpstr>
      <vt:lpstr>'Res Cust'!Print_Area</vt:lpstr>
    </vt:vector>
  </TitlesOfParts>
  <Company>London 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Bacon</dc:creator>
  <cp:lastModifiedBy>Rudra Mukherji</cp:lastModifiedBy>
  <cp:lastPrinted>2009-07-21T19:47:49Z</cp:lastPrinted>
  <dcterms:created xsi:type="dcterms:W3CDTF">2008-02-06T18:24:44Z</dcterms:created>
  <dcterms:modified xsi:type="dcterms:W3CDTF">2017-10-20T15:22:00Z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