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Limited\Registrar_Adj Process\Cases\2018 COS &amp; CIR\EB-2017-0073 (AMR) Sioux Lookout\Application\"/>
    </mc:Choice>
  </mc:AlternateContent>
  <bookViews>
    <workbookView xWindow="270" yWindow="-140" windowWidth="28220" windowHeight="7290" tabRatio="855" firstSheet="4" activeTab="4"/>
  </bookViews>
  <sheets>
    <sheet name="Contents" sheetId="62" r:id="rId1"/>
    <sheet name="LRAMVA Checklist Schematic" sheetId="63" r:id="rId2"/>
    <sheet name="DropDownList" sheetId="80" state="hidden" r:id="rId3"/>
    <sheet name="Instructions" sheetId="87"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2" hidden="1">DropDownList!$A$1:$A$40</definedName>
    <definedName name="_xlnm.Print_Area" localSheetId="4">'1.  LRAMVA Summary'!$A$1:$M$42</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Q57" i="79" l="1"/>
  <c r="R57" i="79"/>
  <c r="S57" i="79"/>
  <c r="T57" i="79"/>
  <c r="U57" i="79"/>
  <c r="V57" i="79"/>
  <c r="W57" i="79"/>
  <c r="X57" i="79"/>
  <c r="P57" i="79"/>
  <c r="Q60" i="79"/>
  <c r="R60" i="79"/>
  <c r="S60" i="79"/>
  <c r="T60" i="79"/>
  <c r="U60" i="79"/>
  <c r="V60" i="79"/>
  <c r="W60" i="79"/>
  <c r="X60" i="79"/>
  <c r="P60" i="79"/>
  <c r="F60" i="79"/>
  <c r="G60" i="79"/>
  <c r="H60" i="79"/>
  <c r="I60" i="79"/>
  <c r="J60" i="79"/>
  <c r="K60" i="79"/>
  <c r="L60" i="79"/>
  <c r="M60" i="79"/>
  <c r="E60" i="79"/>
  <c r="F57" i="79"/>
  <c r="G57" i="79"/>
  <c r="H57" i="79"/>
  <c r="I57" i="79"/>
  <c r="J57" i="79"/>
  <c r="K57" i="79"/>
  <c r="L57" i="79"/>
  <c r="M57" i="79"/>
  <c r="E57" i="79"/>
  <c r="Q41" i="79"/>
  <c r="R41" i="79"/>
  <c r="S41" i="79"/>
  <c r="T41" i="79"/>
  <c r="U41" i="79"/>
  <c r="V41" i="79"/>
  <c r="W41" i="79"/>
  <c r="X41" i="79"/>
  <c r="P41" i="79"/>
  <c r="F41" i="79"/>
  <c r="G41" i="79"/>
  <c r="H41" i="79"/>
  <c r="I41" i="79"/>
  <c r="J41" i="79"/>
  <c r="K41" i="79"/>
  <c r="L41" i="79"/>
  <c r="M41" i="79"/>
  <c r="E41" i="79"/>
  <c r="F38" i="79"/>
  <c r="G38" i="79"/>
  <c r="H38" i="79"/>
  <c r="I38" i="79"/>
  <c r="J38" i="79"/>
  <c r="K38" i="79"/>
  <c r="L38" i="79"/>
  <c r="M38" i="79"/>
  <c r="E38" i="79"/>
  <c r="F507" i="46"/>
  <c r="G507" i="46"/>
  <c r="H507" i="46"/>
  <c r="I507" i="46"/>
  <c r="J507" i="46"/>
  <c r="K507" i="46"/>
  <c r="L507" i="46"/>
  <c r="M507" i="46"/>
  <c r="E507" i="46"/>
  <c r="Q477" i="46"/>
  <c r="R477" i="46"/>
  <c r="S477" i="46"/>
  <c r="T477" i="46"/>
  <c r="U477" i="46"/>
  <c r="V477" i="46"/>
  <c r="W477" i="46"/>
  <c r="X477" i="46"/>
  <c r="P477" i="46"/>
  <c r="F477" i="46"/>
  <c r="G477" i="46"/>
  <c r="H477" i="46"/>
  <c r="I477" i="46"/>
  <c r="J477" i="46"/>
  <c r="K477" i="46"/>
  <c r="L477" i="46"/>
  <c r="M477" i="46"/>
  <c r="E477" i="46"/>
  <c r="Q439" i="46"/>
  <c r="R439" i="46"/>
  <c r="S439" i="46"/>
  <c r="T439" i="46"/>
  <c r="U439" i="46"/>
  <c r="V439" i="46"/>
  <c r="W439" i="46"/>
  <c r="X439" i="46"/>
  <c r="P439" i="46"/>
  <c r="F439" i="46"/>
  <c r="G439" i="46"/>
  <c r="H439" i="46"/>
  <c r="I439" i="46"/>
  <c r="J439" i="46"/>
  <c r="K439" i="46"/>
  <c r="L439" i="46"/>
  <c r="M439" i="46"/>
  <c r="E439" i="46"/>
  <c r="Q436" i="46"/>
  <c r="R436" i="46"/>
  <c r="S436" i="46"/>
  <c r="T436" i="46"/>
  <c r="U436" i="46"/>
  <c r="V436" i="46"/>
  <c r="W436" i="46"/>
  <c r="X436" i="46"/>
  <c r="P436" i="46"/>
  <c r="F436" i="46"/>
  <c r="G436" i="46"/>
  <c r="H436" i="46"/>
  <c r="I436" i="46"/>
  <c r="J436" i="46"/>
  <c r="K436" i="46"/>
  <c r="L436" i="46"/>
  <c r="M436" i="46"/>
  <c r="E436" i="46"/>
  <c r="Q420" i="46"/>
  <c r="R420" i="46"/>
  <c r="S420" i="46"/>
  <c r="T420" i="46"/>
  <c r="U420" i="46"/>
  <c r="V420" i="46"/>
  <c r="W420" i="46"/>
  <c r="X420" i="46"/>
  <c r="P420" i="46"/>
  <c r="F420" i="46"/>
  <c r="G420" i="46"/>
  <c r="H420" i="46"/>
  <c r="I420" i="46"/>
  <c r="J420" i="46"/>
  <c r="K420" i="46"/>
  <c r="L420" i="46"/>
  <c r="M420" i="46"/>
  <c r="E420" i="46"/>
  <c r="Q417" i="46"/>
  <c r="R417" i="46"/>
  <c r="S417" i="46"/>
  <c r="T417" i="46"/>
  <c r="U417" i="46"/>
  <c r="V417" i="46"/>
  <c r="W417" i="46"/>
  <c r="X417" i="46"/>
  <c r="P417" i="46"/>
  <c r="F417" i="46"/>
  <c r="G417" i="46"/>
  <c r="H417" i="46"/>
  <c r="I417" i="46"/>
  <c r="J417" i="46"/>
  <c r="K417" i="46"/>
  <c r="L417" i="46"/>
  <c r="M417" i="46"/>
  <c r="E417" i="46"/>
  <c r="M414" i="46"/>
  <c r="F414" i="46"/>
  <c r="G414" i="46"/>
  <c r="H414" i="46"/>
  <c r="I414" i="46"/>
  <c r="J414" i="46"/>
  <c r="K414" i="46"/>
  <c r="L414" i="46"/>
  <c r="E414" i="46"/>
  <c r="Q408" i="46"/>
  <c r="R408" i="46"/>
  <c r="S408" i="46"/>
  <c r="T408" i="46"/>
  <c r="U408" i="46"/>
  <c r="V408" i="46"/>
  <c r="W408" i="46"/>
  <c r="X408" i="46"/>
  <c r="P408" i="46"/>
  <c r="F411" i="46"/>
  <c r="G411" i="46"/>
  <c r="H411" i="46"/>
  <c r="I411" i="46"/>
  <c r="J411" i="46"/>
  <c r="K411" i="46"/>
  <c r="L411" i="46"/>
  <c r="M411" i="46"/>
  <c r="E411" i="46"/>
  <c r="F408" i="46"/>
  <c r="G408" i="46"/>
  <c r="H408" i="46"/>
  <c r="I408" i="46"/>
  <c r="J408" i="46"/>
  <c r="K408" i="46"/>
  <c r="L408" i="46"/>
  <c r="M408" i="46"/>
  <c r="E408" i="46"/>
  <c r="Q349" i="46"/>
  <c r="R349" i="46"/>
  <c r="S349" i="46"/>
  <c r="T349" i="46"/>
  <c r="U349" i="46"/>
  <c r="V349" i="46"/>
  <c r="W349" i="46"/>
  <c r="X349" i="46"/>
  <c r="P349" i="46"/>
  <c r="F348" i="46"/>
  <c r="G348" i="46"/>
  <c r="H348" i="46"/>
  <c r="I348" i="46"/>
  <c r="J348" i="46"/>
  <c r="K348" i="46"/>
  <c r="L348" i="46"/>
  <c r="M348" i="46"/>
  <c r="F349" i="46"/>
  <c r="G349" i="46"/>
  <c r="H349" i="46"/>
  <c r="I349" i="46"/>
  <c r="J349" i="46"/>
  <c r="K349" i="46"/>
  <c r="L349" i="46"/>
  <c r="M349" i="46"/>
  <c r="E349" i="46"/>
  <c r="E348" i="46"/>
  <c r="Q310" i="46"/>
  <c r="R310" i="46"/>
  <c r="S310" i="46"/>
  <c r="T310" i="46"/>
  <c r="U310" i="46"/>
  <c r="V310" i="46"/>
  <c r="W310" i="46"/>
  <c r="X310" i="46"/>
  <c r="P310" i="46"/>
  <c r="F310" i="46"/>
  <c r="G310" i="46"/>
  <c r="H310" i="46"/>
  <c r="I310" i="46"/>
  <c r="J310" i="46"/>
  <c r="K310" i="46"/>
  <c r="L310" i="46"/>
  <c r="M310" i="46"/>
  <c r="E310" i="46"/>
  <c r="Q291" i="46"/>
  <c r="R291" i="46"/>
  <c r="S291" i="46"/>
  <c r="T291" i="46"/>
  <c r="U291" i="46"/>
  <c r="V291" i="46"/>
  <c r="W291" i="46"/>
  <c r="X291" i="46"/>
  <c r="P291" i="46"/>
  <c r="F291" i="46"/>
  <c r="G291" i="46"/>
  <c r="H291" i="46"/>
  <c r="I291" i="46"/>
  <c r="J291" i="46"/>
  <c r="K291" i="46"/>
  <c r="L291" i="46"/>
  <c r="M291" i="46"/>
  <c r="E291" i="46"/>
  <c r="F288" i="46"/>
  <c r="G288" i="46"/>
  <c r="H288" i="46"/>
  <c r="I288" i="46"/>
  <c r="J288" i="46"/>
  <c r="K288" i="46"/>
  <c r="L288" i="46"/>
  <c r="M288" i="46"/>
  <c r="F289" i="46"/>
  <c r="G289" i="46"/>
  <c r="H289" i="46"/>
  <c r="I289" i="46"/>
  <c r="J289" i="46"/>
  <c r="K289" i="46"/>
  <c r="L289" i="46"/>
  <c r="M289" i="46"/>
  <c r="E288" i="46"/>
  <c r="E289" i="46"/>
  <c r="Q279" i="46"/>
  <c r="R279" i="46"/>
  <c r="S279" i="46"/>
  <c r="T279" i="46"/>
  <c r="U279" i="46"/>
  <c r="V279" i="46"/>
  <c r="W279" i="46"/>
  <c r="X279" i="46"/>
  <c r="P279" i="46"/>
  <c r="F282" i="46"/>
  <c r="G282" i="46"/>
  <c r="H282" i="46"/>
  <c r="I282" i="46"/>
  <c r="J282" i="46"/>
  <c r="K282" i="46"/>
  <c r="L282" i="46"/>
  <c r="M282" i="46"/>
  <c r="E282" i="46"/>
  <c r="F279" i="46"/>
  <c r="G279" i="46"/>
  <c r="H279" i="46"/>
  <c r="I279" i="46"/>
  <c r="J279" i="46"/>
  <c r="K279" i="46"/>
  <c r="L279" i="46"/>
  <c r="M279" i="46"/>
  <c r="E279" i="46"/>
  <c r="F233" i="46"/>
  <c r="G233" i="46"/>
  <c r="H233" i="46"/>
  <c r="I233" i="46"/>
  <c r="J233" i="46"/>
  <c r="K233" i="46"/>
  <c r="L233" i="46"/>
  <c r="M233" i="46"/>
  <c r="E233" i="46"/>
  <c r="F181" i="46"/>
  <c r="G181" i="46"/>
  <c r="H181" i="46"/>
  <c r="I181" i="46"/>
  <c r="J181" i="46"/>
  <c r="K181" i="46"/>
  <c r="L181" i="46"/>
  <c r="M181" i="46"/>
  <c r="E181" i="46"/>
  <c r="F162" i="46"/>
  <c r="G162" i="46"/>
  <c r="H162" i="46"/>
  <c r="I162" i="46"/>
  <c r="J162" i="46"/>
  <c r="K162" i="46"/>
  <c r="L162" i="46"/>
  <c r="M162" i="46"/>
  <c r="E162" i="46"/>
  <c r="F159" i="46"/>
  <c r="G159" i="46"/>
  <c r="H159" i="46"/>
  <c r="I159" i="46"/>
  <c r="J159" i="46"/>
  <c r="K159" i="46"/>
  <c r="L159" i="46"/>
  <c r="M159" i="46"/>
  <c r="E159" i="46"/>
  <c r="F156" i="46"/>
  <c r="G156" i="46"/>
  <c r="H156" i="46"/>
  <c r="I156" i="46"/>
  <c r="J156" i="46"/>
  <c r="K156" i="46"/>
  <c r="L156" i="46"/>
  <c r="M156" i="46"/>
  <c r="F157" i="46"/>
  <c r="G157" i="46"/>
  <c r="H157" i="46"/>
  <c r="I157" i="46"/>
  <c r="J157" i="46"/>
  <c r="K157" i="46"/>
  <c r="L157" i="46"/>
  <c r="M157" i="46"/>
  <c r="E156" i="46"/>
  <c r="E157" i="46"/>
  <c r="F153" i="46"/>
  <c r="G153" i="46"/>
  <c r="H153" i="46"/>
  <c r="I153" i="46"/>
  <c r="J153" i="46"/>
  <c r="K153" i="46"/>
  <c r="L153" i="46"/>
  <c r="M153" i="46"/>
  <c r="E153" i="46"/>
  <c r="Q150" i="46"/>
  <c r="R150" i="46"/>
  <c r="S150" i="46"/>
  <c r="T150" i="46"/>
  <c r="U150" i="46"/>
  <c r="V150" i="46"/>
  <c r="W150" i="46"/>
  <c r="X150" i="46"/>
  <c r="P150" i="46"/>
  <c r="F150" i="46"/>
  <c r="G150" i="46"/>
  <c r="H150" i="46"/>
  <c r="I150" i="46"/>
  <c r="J150" i="46"/>
  <c r="K150" i="46"/>
  <c r="L150" i="46"/>
  <c r="M150" i="46"/>
  <c r="E150" i="46"/>
  <c r="F105" i="46"/>
  <c r="G105" i="46"/>
  <c r="H105" i="46"/>
  <c r="I105" i="46"/>
  <c r="J105" i="46"/>
  <c r="K105" i="46"/>
  <c r="L105" i="46"/>
  <c r="M105" i="46"/>
  <c r="E105" i="46"/>
  <c r="Q53" i="46"/>
  <c r="R53" i="46"/>
  <c r="S53" i="46"/>
  <c r="T53" i="46"/>
  <c r="U53" i="46"/>
  <c r="V53" i="46"/>
  <c r="W53" i="46"/>
  <c r="X53" i="46"/>
  <c r="P53" i="46"/>
  <c r="F53" i="46"/>
  <c r="G53" i="46"/>
  <c r="H53" i="46"/>
  <c r="I53" i="46"/>
  <c r="J53" i="46"/>
  <c r="K53" i="46"/>
  <c r="L53" i="46"/>
  <c r="M53" i="46"/>
  <c r="E53" i="46"/>
  <c r="Q34" i="46"/>
  <c r="R34" i="46"/>
  <c r="S34" i="46"/>
  <c r="T34" i="46"/>
  <c r="U34" i="46"/>
  <c r="V34" i="46"/>
  <c r="W34" i="46"/>
  <c r="X34" i="46"/>
  <c r="P34" i="46"/>
  <c r="F34" i="46"/>
  <c r="G34" i="46"/>
  <c r="H34" i="46"/>
  <c r="I34" i="46"/>
  <c r="J34" i="46"/>
  <c r="K34" i="46"/>
  <c r="L34" i="46"/>
  <c r="M34" i="46"/>
  <c r="F35" i="46"/>
  <c r="G35" i="46"/>
  <c r="H35" i="46"/>
  <c r="I35" i="46"/>
  <c r="J35" i="46"/>
  <c r="K35" i="46"/>
  <c r="L35" i="46"/>
  <c r="M35" i="46"/>
  <c r="E35" i="46"/>
  <c r="E34" i="46"/>
  <c r="Q31" i="46"/>
  <c r="R31" i="46"/>
  <c r="S31" i="46"/>
  <c r="T31" i="46"/>
  <c r="U31" i="46"/>
  <c r="V31" i="46"/>
  <c r="W31" i="46"/>
  <c r="X31" i="46"/>
  <c r="P31" i="46"/>
  <c r="F31" i="46"/>
  <c r="G31" i="46"/>
  <c r="H31" i="46"/>
  <c r="I31" i="46"/>
  <c r="J31" i="46"/>
  <c r="K31" i="46"/>
  <c r="L31" i="46"/>
  <c r="M31" i="46"/>
  <c r="F32" i="46"/>
  <c r="G32" i="46"/>
  <c r="H32" i="46"/>
  <c r="I32" i="46"/>
  <c r="J32" i="46"/>
  <c r="K32" i="46"/>
  <c r="L32" i="46"/>
  <c r="M32" i="46"/>
  <c r="E32" i="46"/>
  <c r="E31" i="46"/>
  <c r="Q28" i="46"/>
  <c r="R28" i="46"/>
  <c r="S28" i="46"/>
  <c r="T28" i="46"/>
  <c r="U28" i="46"/>
  <c r="V28" i="46"/>
  <c r="W28" i="46"/>
  <c r="X28" i="46"/>
  <c r="P28" i="46"/>
  <c r="F28" i="46"/>
  <c r="G28" i="46"/>
  <c r="H28" i="46"/>
  <c r="I28" i="46"/>
  <c r="J28" i="46"/>
  <c r="K28" i="46"/>
  <c r="L28" i="46"/>
  <c r="M28" i="46"/>
  <c r="F29" i="46"/>
  <c r="G29" i="46"/>
  <c r="H29" i="46"/>
  <c r="I29" i="46"/>
  <c r="J29" i="46"/>
  <c r="K29" i="46"/>
  <c r="L29" i="46"/>
  <c r="M29" i="46"/>
  <c r="E29" i="46"/>
  <c r="E28" i="46"/>
  <c r="S22" i="46"/>
  <c r="R22" i="46"/>
  <c r="Q22" i="46"/>
  <c r="P22" i="46"/>
  <c r="G25" i="46"/>
  <c r="F25" i="46"/>
  <c r="E25" i="46"/>
  <c r="H22" i="46"/>
  <c r="G22" i="46"/>
  <c r="F22" i="46"/>
  <c r="E22" i="46"/>
  <c r="O927" i="79"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22"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46"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H53" i="44"/>
  <c r="H46" i="44"/>
  <c r="E53" i="44"/>
  <c r="E44" i="44"/>
  <c r="E46" i="44"/>
  <c r="J53" i="44"/>
  <c r="J46" i="44"/>
  <c r="G53" i="44"/>
  <c r="G46" i="44"/>
  <c r="F53" i="44"/>
  <c r="F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H18" i="43" s="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AL572" i="79"/>
  <c r="Q70" i="43" s="1"/>
  <c r="E93" i="43"/>
  <c r="Z388" i="79"/>
  <c r="E67" i="43" s="1"/>
  <c r="AA204" i="79"/>
  <c r="F64" i="43" s="1"/>
  <c r="E29"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E31"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E27"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E28" i="43" s="1"/>
  <c r="K27" i="47"/>
  <c r="L81" i="47" l="1"/>
  <c r="E30"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I72" i="47"/>
  <c r="I74" i="47" s="1"/>
  <c r="I87" i="47" s="1"/>
  <c r="J72" i="47"/>
  <c r="J74" i="47" s="1"/>
  <c r="J87" i="47" s="1"/>
  <c r="N72" i="47"/>
  <c r="N74" i="47" s="1"/>
  <c r="N87" i="47" s="1"/>
  <c r="N89" i="47" s="1"/>
  <c r="N102" i="47" s="1"/>
  <c r="O72" i="47"/>
  <c r="O74" i="47" s="1"/>
  <c r="O87" i="47" s="1"/>
  <c r="O89" i="47" s="1"/>
  <c r="O102" i="47" s="1"/>
  <c r="L44" i="47"/>
  <c r="L57" i="47" s="1"/>
  <c r="L59" i="47" s="1"/>
  <c r="J89" i="47" l="1"/>
  <c r="J102" i="47" s="1"/>
  <c r="E82" i="43"/>
  <c r="E83" i="43" s="1"/>
  <c r="I89" i="47"/>
  <c r="D82" i="43"/>
  <c r="D83" i="43" s="1"/>
  <c r="M89" i="47"/>
  <c r="M102" i="47" s="1"/>
  <c r="H82" i="43"/>
  <c r="F36" i="43"/>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F38" i="43"/>
  <c r="G38" i="43" s="1"/>
  <c r="F35" i="43"/>
  <c r="G35" i="43" s="1"/>
  <c r="M104" i="47"/>
  <c r="M117" i="47" s="1"/>
  <c r="M119" i="47" s="1"/>
  <c r="M132" i="47" s="1"/>
  <c r="M134" i="47" s="1"/>
  <c r="M147" i="47" s="1"/>
  <c r="M149" i="47" s="1"/>
  <c r="M162" i="47" s="1"/>
  <c r="N104" i="47"/>
  <c r="N117" i="47" s="1"/>
  <c r="N119" i="47" s="1"/>
  <c r="N132" i="47" s="1"/>
  <c r="N134" i="47" s="1"/>
  <c r="N147" i="47" s="1"/>
  <c r="N149" i="47" s="1"/>
  <c r="N162" i="47" s="1"/>
  <c r="I82" i="43"/>
  <c r="L72" i="47"/>
  <c r="L74" i="47" s="1"/>
  <c r="L87" i="47" s="1"/>
  <c r="I102" i="47"/>
  <c r="L89" i="47" l="1"/>
  <c r="L102" i="47" s="1"/>
  <c r="L104" i="47" s="1"/>
  <c r="L117" i="47" s="1"/>
  <c r="L119" i="47" s="1"/>
  <c r="L132" i="47" s="1"/>
  <c r="L134" i="47" s="1"/>
  <c r="L147" i="47" s="1"/>
  <c r="L149" i="47" s="1"/>
  <c r="L162" i="47" s="1"/>
  <c r="G82" i="43"/>
  <c r="G83" i="43" s="1"/>
  <c r="F31" i="43"/>
  <c r="G31" i="43" s="1"/>
  <c r="H83" i="43"/>
  <c r="F28" i="43"/>
  <c r="G28" i="43" s="1"/>
  <c r="F32" i="43"/>
  <c r="G32" i="43" s="1"/>
  <c r="I83" i="43"/>
  <c r="I104" i="47"/>
  <c r="I117" i="47" s="1"/>
  <c r="I119" i="47" s="1"/>
  <c r="I132" i="47" s="1"/>
  <c r="I134" i="47" s="1"/>
  <c r="I147" i="47" s="1"/>
  <c r="I149" i="47" s="1"/>
  <c r="I162" i="47"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l="1"/>
  <c r="K102" i="47" s="1"/>
  <c r="K104" i="47" s="1"/>
  <c r="K117" i="47" s="1"/>
  <c r="K119" i="47" s="1"/>
  <c r="K132" i="47" s="1"/>
  <c r="K134" i="47" s="1"/>
  <c r="K147" i="47" s="1"/>
  <c r="K149" i="47" s="1"/>
  <c r="K162" i="47" s="1"/>
  <c r="F82" i="43"/>
  <c r="F83" i="43"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<sst xmlns="http://schemas.openxmlformats.org/spreadsheetml/2006/main" count="3332" uniqueCount="725">
  <si>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</si>
  <si>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</si>
  <si>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</si>
  <si>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</si>
  <si>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</si>
  <si>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</si>
  <si>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</si>
  <si>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</si>
  <si>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</si>
  <si>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</si>
  <si>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</si>
  <si>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</si>
  <si>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</si>
  <si>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</si>
  <si>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</si>
  <si>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</si>
  <si>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</si>
  <si>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</si>
  <si>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</si>
  <si>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</si>
  <si>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</si>
  <si>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</si>
  <si>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</si>
  <si>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</si>
  <si>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</si>
  <si>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</si>
  <si>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</si>
  <si>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</si>
  <si>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</si>
  <si>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</si>
  <si>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</si>
  <si>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</si>
  <si>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</si>
  <si>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</si>
  <si>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</si>
  <si>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</si>
  <si>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</si>
  <si>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</si>
  <si>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</si>
  <si>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</si>
  <si>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</si>
  <si>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</si>
  <si>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</si>
  <si>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</si>
  <si>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</si>
  <si>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</si>
  <si>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</si>
  <si>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</si>
  <si>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</si>
  <si>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</si>
  <si>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</si>
  <si>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</si>
  <si>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</si>
  <si>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</si>
  <si>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</si>
  <si>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</si>
  <si>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</si>
  <si>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</si>
  <si>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</si>
  <si>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</si>
  <si>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</si>
  <si>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</si>
  <si>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</si>
  <si>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</si>
  <si>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</si>
  <si>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</si>
  <si>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</si>
  <si>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</si>
  <si>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</si>
  <si>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</si>
  <si>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</si>
  <si>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</si>
  <si>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</si>
  <si>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</si>
  <si>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</si>
  <si>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</si>
  <si>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</si>
  <si>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</si>
  <si>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</si>
  <si>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</si>
  <si>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</si>
  <si>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</si>
  <si>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</si>
  <si>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</si>
  <si>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</si>
  <si>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</si>
  <si>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</si>
  <si>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</si>
  <si>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</si>
  <si>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</si>
  <si>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</si>
  <si>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</si>
  <si>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</si>
  <si>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</si>
  <si>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</si>
  <si>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</si>
  <si>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</si>
  <si>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</si>
  <si>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</si>
  <si>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</si>
  <si>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</si>
  <si>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</si>
  <si>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</si>
  <si>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</si>
  <si>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</si>
  <si>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</si>
  <si>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</si>
  <si>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</si>
  <si>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</si>
  <si>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</si>
  <si>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</si>
  <si>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</si>
  <si>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</si>
  <si>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</si>
  <si>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</si>
  <si>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</si>
  <si>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</si>
  <si>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</si>
  <si>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</si>
  <si>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</si>
  <si>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</si>
  <si>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</si>
  <si>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</si>
  <si>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</si>
  <si>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</si>
  <si>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</si>
  <si>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</si>
  <si>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</si>
  <si>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</si>
  <si>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</si>
  <si>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</si>
  <si>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</si>
  <si>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</si>
  <si>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</si>
  <si>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</si>
  <si>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</si>
  <si>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</si>
  <si>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</si>
  <si>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</si>
  <si>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</si>
  <si>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</si>
  <si>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</si>
  <si>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</si>
  <si>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</si>
  <si>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</si>
  <si>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</si>
  <si>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</si>
  <si>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</si>
  <si>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</si>
  <si>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</si>
  <si>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</si>
  <si>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</si>
  <si>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</si>
  <si>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</si>
  <si>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</si>
  <si>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</si>
  <si>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</si>
  <si>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</si>
  <si>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</si>
  <si>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</si>
  <si>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</si>
  <si>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</si>
  <si>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</si>
  <si>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</si>
  <si>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</si>
  <si>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</si>
  <si>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</si>
  <si>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</si>
  <si>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</si>
  <si>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</si>
  <si>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</si>
  <si>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</si>
  <si>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</si>
  <si>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</si>
  <si>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</si>
  <si>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</si>
  <si>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</si>
  <si>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</si>
  <si>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</si>
  <si>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</si>
  <si>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</si>
  <si>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</si>
  <si>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</si>
  <si>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</si>
  <si>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</si>
  <si>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</si>
  <si>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</si>
  <si>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</si>
  <si>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</si>
  <si>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</si>
  <si>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</si>
  <si>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</si>
  <si>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</si>
  <si>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</si>
  <si>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</si>
  <si>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</si>
  <si>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</si>
  <si>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</si>
  <si>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</si>
  <si>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</si>
  <si>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</si>
  <si>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</si>
  <si>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</si>
  <si>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</si>
  <si>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</si>
  <si>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</si>
  <si>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</si>
  <si>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</si>
  <si>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</si>
  <si>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</si>
  <si>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</si>
  <si>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</si>
  <si>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</si>
  <si>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</si>
  <si>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</si>
  <si>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</si>
  <si>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</si>
  <si>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</si>
  <si>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</si>
  <si>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</si>
  <si>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</si>
  <si>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</si>
  <si>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</si>
  <si>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</si>
  <si>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</si>
  <si>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</si>
  <si>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</si>
  <si>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</si>
  <si>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</si>
  <si>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</si>
  <si>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</si>
  <si>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</si>
  <si>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</si>
  <si>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</si>
  <si>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</si>
  <si>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</si>
  <si>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</si>
  <si>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</si>
  <si>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</si>
  <si>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</si>
  <si>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</si>
  <si>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</si>
  <si>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</si>
  <si>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</si>
  <si>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</si>
  <si>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</si>
  <si>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</si>
  <si>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</si>
  <si>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</si>
  <si>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</si>
  <si>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</si>
  <si>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</si>
  <si>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</si>
  <si>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</si>
  <si>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</si>
  <si>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</si>
  <si>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</si>
  <si>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</si>
  <si>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</si>
  <si>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</si>
  <si>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</si>
  <si>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</si>
  <si>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</si>
  <si>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</si>
  <si>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</si>
  <si>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</si>
  <si>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</si>
  <si>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</si>
  <si>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</si>
  <si>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</si>
  <si>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</si>
  <si>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</si>
  <si>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</si>
  <si>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</si>
  <si>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</si>
  <si>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</si>
  <si>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</si>
  <si>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</si>
  <si>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</si>
  <si>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</si>
  <si>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</si>
  <si>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</si>
  <si>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</si>
  <si>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</si>
  <si>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</si>
  <si>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</si>
  <si>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</si>
  <si>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</si>
  <si>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</si>
  <si>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</si>
  <si>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</si>
  <si>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</si>
  <si>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</si>
  <si>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</si>
  <si>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</si>
  <si>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</si>
  <si>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</si>
  <si>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</si>
  <si>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</si>
  <si>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</si>
  <si>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</si>
  <si>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</si>
  <si>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</si>
  <si>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</si>
  <si>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</si>
  <si>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</si>
  <si>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</si>
  <si>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</si>
  <si>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</si>
  <si>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</si>
  <si>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</si>
  <si>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</si>
  <si>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</si>
  <si>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</si>
  <si>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</si>
  <si>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</si>
  <si>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</si>
  <si>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</si>
  <si>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</si>
  <si>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</si>
  <si>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</si>
  <si>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</si>
  <si>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</si>
  <si>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</si>
  <si>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</si>
  <si>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</si>
  <si>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</si>
  <si>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</si>
  <si>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</si>
  <si>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</si>
  <si>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</si>
  <si>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</si>
  <si>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</si>
  <si>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</si>
  <si>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</si>
  <si>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</si>
  <si>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</si>
  <si>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</si>
  <si>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</si>
  <si>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</si>
  <si>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</si>
  <si>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</si>
  <si>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</si>
  <si>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</si>
  <si>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</si>
  <si>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</si>
  <si>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</si>
  <si>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</si>
  <si>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</si>
  <si>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</si>
  <si>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</si>
  <si>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</si>
  <si>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</si>
  <si>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</si>
  <si>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</si>
  <si>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</si>
  <si>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</si>
  <si>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</si>
  <si>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</si>
  <si>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</si>
  <si>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</si>
  <si>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</si>
  <si>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</si>
  <si>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</si>
  <si>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</si>
  <si>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</si>
  <si>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</si>
  <si>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</si>
  <si>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</si>
  <si>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</si>
  <si>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</si>
  <si>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</si>
  <si>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</si>
  <si>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</si>
  <si>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</si>
  <si>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</si>
  <si>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</si>
  <si>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</si>
  <si>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</si>
  <si>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</si>
  <si>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</si>
  <si>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</si>
  <si>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</si>
  <si>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</si>
  <si>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</si>
  <si>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</si>
  <si>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</si>
  <si>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</si>
  <si>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</si>
  <si>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</si>
  <si>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</si>
  <si>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</si>
  <si>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</si>
  <si>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</si>
  <si>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</si>
  <si>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</si>
  <si>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</si>
  <si>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</si>
  <si>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</si>
  <si>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</si>
  <si>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</si>
  <si>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</si>
  <si>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</si>
  <si>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</si>
  <si>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</si>
  <si>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</si>
  <si>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</si>
  <si>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</si>
  <si>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</si>
  <si>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</si>
  <si>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</si>
  <si>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</si>
  <si>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</si>
  <si>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</si>
  <si>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</si>
  <si>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</si>
  <si>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</si>
  <si>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</si>
  <si>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</si>
  <si>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</si>
  <si>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</si>
  <si>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</si>
  <si>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</si>
  <si>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</si>
  <si>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</si>
  <si>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</si>
  <si>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</si>
  <si>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</si>
  <si>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</si>
  <si>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</si>
  <si>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</si>
  <si>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</si>
  <si>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</si>
  <si>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</si>
  <si>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</si>
  <si>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</si>
  <si>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</si>
  <si>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</si>
  <si>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</si>
  <si>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</si>
  <si>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</si>
  <si>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</si>
  <si>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</si>
  <si>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</si>
  <si>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</si>
  <si>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</si>
  <si>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</si>
  <si>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</si>
  <si>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</si>
  <si>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</si>
  <si>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</si>
  <si>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</si>
  <si>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</si>
  <si>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</si>
  <si>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</si>
  <si>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</si>
  <si>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</si>
  <si>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</si>
  <si>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</si>
  <si>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</si>
  <si>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</si>
  <si>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</si>
  <si>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</si>
  <si>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</si>
  <si>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</si>
  <si>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</si>
  <si>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</si>
  <si>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</si>
  <si>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</si>
  <si>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</si>
  <si>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</si>
  <si>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</si>
  <si>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</si>
  <si>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</si>
  <si>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</si>
  <si>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</si>
  <si>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</si>
  <si>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</si>
  <si>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</si>
  <si>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</si>
  <si>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</si>
  <si>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</si>
  <si>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</si>
  <si>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</si>
  <si>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</si>
  <si>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</si>
  <si>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</si>
  <si>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</si>
  <si>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</si>
  <si>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</si>
  <si>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</si>
  <si>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</si>
  <si>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</si>
  <si>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</si>
  <si>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</si>
  <si>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</si>
  <si>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</si>
  <si>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</si>
  <si>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</si>
  <si>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</si>
  <si>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</si>
  <si>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</si>
  <si>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</si>
  <si>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</si>
  <si>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</si>
  <si>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</si>
  <si>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</si>
  <si>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</si>
  <si>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</si>
  <si>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</si>
  <si>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</si>
  <si>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</si>
  <si>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</si>
  <si>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</si>
  <si>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</si>
  <si>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</si>
  <si>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</si>
  <si>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</si>
  <si>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7.  Persistence Data</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</si>
  <si>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</si>
  <si>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</si>
  <si>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</si>
  <si>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</si>
  <si>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</si>
  <si>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</si>
  <si>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</si>
  <si>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</si>
  <si>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</si>
  <si>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</si>
  <si>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</si>
  <si>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</si>
  <si>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</si>
  <si>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</si>
  <si>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</si>
  <si>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</si>
  <si>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</si>
  <si>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</si>
  <si>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</si>
  <si>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</si>
  <si>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</si>
  <si>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</si>
  <si>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</si>
  <si>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</si>
  <si>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</si>
  <si>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</si>
  <si>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</si>
  <si>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</si>
  <si>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</si>
  <si>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</si>
  <si>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</si>
  <si>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</si>
  <si>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</si>
  <si>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</si>
  <si>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</si>
  <si>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</si>
  <si>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</si>
  <si>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</si>
  <si>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</si>
  <si>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</si>
  <si>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</si>
  <si>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</si>
  <si>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</si>
  <si>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</si>
  <si>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</si>
  <si>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</si>
  <si>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</si>
  <si>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</si>
  <si>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</si>
  <si>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</si>
  <si>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</si>
  <si>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</si>
  <si>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</si>
  <si>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</si>
  <si>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</si>
  <si>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</si>
  <si>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</si>
  <si>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</si>
  <si>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</si>
  <si>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</si>
  <si>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</si>
  <si>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</si>
  <si>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</si>
  <si>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</si>
  <si>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</si>
  <si>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</si>
  <si>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</si>
  <si>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</si>
  <si>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</si>
  <si>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</si>
  <si>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</si>
  <si>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</si>
  <si>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</si>
  <si>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</si>
  <si>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</si>
  <si>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</si>
  <si>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</si>
  <si>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</si>
  <si>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</si>
  <si>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</si>
  <si>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</si>
  <si>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</si>
  <si>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</si>
  <si>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</si>
  <si>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</si>
  <si>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</si>
  <si>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</si>
  <si>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</si>
  <si>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</si>
  <si>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</si>
  <si>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</si>
  <si>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</si>
  <si>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</si>
  <si>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</si>
  <si>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r>
      <rPr>
        <b/>
        <sz val="11"/>
        <rFont val="Arial"/>
        <family val="2"/>
      </rPr>
      <t xml:space="preserve">Tables 7-a to 7-j </t>
    </r>
    <r>
      <rPr>
        <sz val="11"/>
        <rFont val="Arial"/>
        <family val="2"/>
      </rPr>
      <t>should be populated with CDM savings persistence data provided to LDCs from the IESO.</t>
    </r>
  </si>
  <si>
    <t>A blank spreadsheet is provided to allow LDCs to populate distributor specific rate class percentages to allocate actual CDM savings to different customer classes.</t>
  </si>
  <si>
    <t>A blank spreadsheet is provided to allow LDCs to populate data on streetlighting projects whose savings were not provided by the IESO in the CDM Final Results Report.</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</si>
  <si>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</si>
  <si>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</si>
  <si>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</si>
  <si>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</si>
  <si>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</si>
  <si>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</si>
  <si>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</si>
  <si>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</si>
  <si>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</si>
  <si>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</si>
  <si>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</si>
  <si>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</si>
  <si>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</si>
  <si>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</si>
  <si>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</si>
  <si>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</si>
  <si>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</si>
  <si>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</si>
  <si>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</si>
  <si>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</si>
  <si>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</si>
  <si>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</si>
  <si>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</si>
  <si>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</si>
  <si>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</si>
  <si>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</si>
  <si>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</si>
  <si>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</si>
  <si>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</si>
  <si>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</si>
  <si>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</si>
  <si>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</si>
  <si>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</si>
  <si>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</si>
  <si>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</si>
  <si>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</si>
  <si>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</si>
  <si>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</si>
  <si>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</si>
  <si>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</si>
  <si>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</si>
  <si>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</si>
  <si>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</si>
  <si>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</si>
  <si>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</si>
  <si>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</si>
  <si>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</si>
  <si>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</si>
  <si>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</si>
  <si>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</si>
  <si>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</si>
  <si>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</si>
  <si>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</si>
  <si>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</si>
  <si>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</si>
  <si>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</si>
  <si>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</si>
  <si>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</si>
  <si>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</si>
  <si>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</si>
  <si>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</si>
  <si>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</si>
  <si>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</si>
  <si>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</si>
  <si>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</si>
  <si>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</si>
  <si>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</si>
  <si>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</si>
  <si>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Sioux Lookout Hydro Inc.</t>
  </si>
  <si>
    <t>EB-2017-0073</t>
  </si>
  <si>
    <t>2018 COS</t>
  </si>
  <si>
    <t>GS &gt; 50 to 4,999 Kw</t>
  </si>
  <si>
    <t>EB-2009-0249</t>
  </si>
  <si>
    <t>EB-2010-0114</t>
  </si>
  <si>
    <t>EB-2011-0102</t>
  </si>
  <si>
    <t>EB-2012-0165</t>
  </si>
  <si>
    <t>EB-2013-0170</t>
  </si>
  <si>
    <t>EB-2014-0112</t>
  </si>
  <si>
    <t>EB-2015-0101</t>
  </si>
  <si>
    <t>EB-2016-0103</t>
  </si>
  <si>
    <t>Tier 1</t>
  </si>
  <si>
    <t>Consumer</t>
  </si>
  <si>
    <t>Business</t>
  </si>
  <si>
    <t>Pre-2011 Programs Completed in 2011</t>
  </si>
  <si>
    <t>Commercial &amp; Institutional</t>
  </si>
  <si>
    <t>EE</t>
  </si>
  <si>
    <t>Tier 1 - 2011 Adjustment</t>
  </si>
  <si>
    <t>C&amp;I</t>
  </si>
  <si>
    <t>Small Business Lighting</t>
  </si>
  <si>
    <t>Annual Coupons</t>
  </si>
  <si>
    <t>Bi-Annual Retailer Events</t>
  </si>
  <si>
    <t>HVAC</t>
  </si>
  <si>
    <t>Home Assistance</t>
  </si>
  <si>
    <t>Time-of-Use Savings</t>
  </si>
  <si>
    <t>Commercial</t>
  </si>
  <si>
    <t>HVAC Incentives Initiative</t>
  </si>
  <si>
    <t>IRR, 3-Staff-13 (b), Decision page 7</t>
  </si>
  <si>
    <t>N/A</t>
  </si>
  <si>
    <t>D83, E83, F83, G83, H83, R83</t>
  </si>
  <si>
    <t>Revised formula to only include values to 2015</t>
  </si>
  <si>
    <t>Not applying for disposition of 2016 values due to not receiving final verified results from IESO</t>
  </si>
  <si>
    <t>D82, E82, F82, G82, H82</t>
  </si>
  <si>
    <t>E27, E28, E29, E30, E31</t>
  </si>
  <si>
    <t>H17, H18</t>
  </si>
  <si>
    <t xml:space="preserve">The actual CDM savings were allocated based on the programs. All of the consumer program savings were allocated to Residential, and the Business program - small business lighting savings allocated to GS &lt; 50, </t>
  </si>
  <si>
    <t>The Low-Income programs are allocated 100% to Residential.</t>
  </si>
  <si>
    <t xml:space="preserve">the Retrofit programs to GS &gt; 50 with the exception of the 2015 retrofit which was allocated 95% to Street Lighting and 5% to General Service &gt; 50 kW. There were only two retrofit programs in 2015. </t>
  </si>
  <si>
    <t>The street lighting LED conversion accounted for 372,016 kWh of savings and a retrofit for a General Service &gt; 50 kW customer accounted for the additional 20,682 of kWh savings.</t>
  </si>
  <si>
    <t>There is no program savings that were not provided in the IESO's verified results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</si>
</sst>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0" fillId="94" borderId="136" xfId="0" applyNumberFormat="1" applyFont="1" applyFill="1" applyBorder="1" applyAlignment="1">
      <alignment vertical="top"/>
    </xf>
    <xf numFmtId="3" fontId="0" fillId="2"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2" borderId="117" xfId="0" applyNumberFormat="1" applyFont="1" applyFill="1" applyBorder="1" applyAlignment="1">
      <alignment vertical="top"/>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9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7401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51</xdr:row>
          <xdr:rowOff>19050</xdr:rowOff>
        </xdr:from>
        <xdr:to>
          <xdr:col>2</xdr:col>
          <xdr:colOff>1384300</xdr:colOff>
          <xdr:row>52</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54</xdr:row>
          <xdr:rowOff>19050</xdr:rowOff>
        </xdr:from>
        <xdr:to>
          <xdr:col>2</xdr:col>
          <xdr:colOff>1384300</xdr:colOff>
          <xdr:row>55</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19050</xdr:rowOff>
        </xdr:from>
        <xdr:to>
          <xdr:col>2</xdr:col>
          <xdr:colOff>1384300</xdr:colOff>
          <xdr:row>58</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19050</xdr:rowOff>
        </xdr:from>
        <xdr:to>
          <xdr:col>2</xdr:col>
          <xdr:colOff>1384300</xdr:colOff>
          <xdr:row>61</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19050</xdr:rowOff>
        </xdr:from>
        <xdr:to>
          <xdr:col>2</xdr:col>
          <xdr:colOff>1384300</xdr:colOff>
          <xdr:row>64</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8867"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3779" y="281441"/>
          <a:ext cx="15380641" cy="1570641"/>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750815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1626" y="134471"/>
          <a:ext cx="1827212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3129491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7" sqref="F7"/>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48" t="s">
        <v>175</v>
      </c>
      <c r="C3" s="748"/>
    </row>
    <row r="4" spans="1:3" ht="11.25" customHeight="1"/>
    <row r="5" spans="1:3" s="30" customFormat="1" ht="25.5" customHeight="1">
      <c r="B5" s="62" t="s">
        <v>422</v>
      </c>
      <c r="C5" s="62" t="s">
        <v>174</v>
      </c>
    </row>
    <row r="6" spans="1:3" s="178" customFormat="1" ht="48" customHeight="1">
      <c r="A6" s="243"/>
      <c r="B6" s="620" t="s">
        <v>171</v>
      </c>
      <c r="C6" s="673" t="s">
        <v>607</v>
      </c>
    </row>
    <row r="7" spans="1:3" s="178" customFormat="1" ht="21" customHeight="1">
      <c r="A7" s="243"/>
      <c r="B7" s="614" t="s">
        <v>556</v>
      </c>
      <c r="C7" s="674" t="s">
        <v>622</v>
      </c>
    </row>
    <row r="8" spans="1:3" s="178" customFormat="1" ht="32.25" customHeight="1">
      <c r="B8" s="614" t="s">
        <v>369</v>
      </c>
      <c r="C8" s="675" t="s">
        <v>608</v>
      </c>
    </row>
    <row r="9" spans="1:3" s="178" customFormat="1" ht="27.75" customHeight="1">
      <c r="B9" s="614" t="s">
        <v>170</v>
      </c>
      <c r="C9" s="675" t="s">
        <v>609</v>
      </c>
    </row>
    <row r="10" spans="1:3" s="178" customFormat="1" ht="33" customHeight="1">
      <c r="B10" s="614" t="s">
        <v>605</v>
      </c>
      <c r="C10" s="674" t="s">
        <v>614</v>
      </c>
    </row>
    <row r="11" spans="1:3" s="178" customFormat="1" ht="26.25" customHeight="1">
      <c r="B11" s="629" t="s">
        <v>370</v>
      </c>
      <c r="C11" s="677" t="s">
        <v>610</v>
      </c>
    </row>
    <row r="12" spans="1:3" s="178" customFormat="1" ht="39.75" customHeight="1">
      <c r="B12" s="614" t="s">
        <v>371</v>
      </c>
      <c r="C12" s="675" t="s">
        <v>611</v>
      </c>
    </row>
    <row r="13" spans="1:3" s="178" customFormat="1" ht="18" customHeight="1">
      <c r="B13" s="614" t="s">
        <v>372</v>
      </c>
      <c r="C13" s="675" t="s">
        <v>612</v>
      </c>
    </row>
    <row r="14" spans="1:3" s="178" customFormat="1" ht="13.5" customHeight="1">
      <c r="B14" s="614"/>
      <c r="C14" s="676"/>
    </row>
    <row r="15" spans="1:3" s="178" customFormat="1" ht="18" customHeight="1">
      <c r="B15" s="614" t="s">
        <v>518</v>
      </c>
      <c r="C15" s="676" t="s">
        <v>613</v>
      </c>
    </row>
    <row r="16" spans="1:3" s="178" customFormat="1" ht="8.25" customHeight="1">
      <c r="B16" s="614"/>
      <c r="C16" s="676"/>
    </row>
    <row r="17" spans="2:3" s="178" customFormat="1" ht="27.75" customHeight="1">
      <c r="B17" s="678" t="s">
        <v>606</v>
      </c>
      <c r="C17" s="679" t="s">
        <v>615</v>
      </c>
    </row>
    <row r="18" spans="2:3" s="105" customFormat="1" ht="15.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Data'!A1" display="7.  Persistence Data"/>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90" zoomScaleNormal="90" workbookViewId="0">
      <selection activeCell="E13" sqref="E13"/>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50" t="s">
        <v>569</v>
      </c>
      <c r="C3" s="751"/>
      <c r="D3" s="751"/>
      <c r="E3" s="751"/>
      <c r="F3" s="752"/>
      <c r="G3" s="124"/>
    </row>
    <row r="4" spans="2:20" ht="16.5" customHeight="1">
      <c r="B4" s="753"/>
      <c r="C4" s="754"/>
      <c r="D4" s="754"/>
      <c r="E4" s="754"/>
      <c r="F4" s="755"/>
      <c r="G4" s="124"/>
    </row>
    <row r="5" spans="2:20" ht="71.25" customHeight="1">
      <c r="B5" s="753"/>
      <c r="C5" s="754"/>
      <c r="D5" s="754"/>
      <c r="E5" s="754"/>
      <c r="F5" s="755"/>
      <c r="G5" s="124"/>
    </row>
    <row r="6" spans="2:20" ht="21.75" customHeight="1">
      <c r="B6" s="756"/>
      <c r="C6" s="757"/>
      <c r="D6" s="757"/>
      <c r="E6" s="757"/>
      <c r="F6" s="758"/>
      <c r="G6" s="124"/>
    </row>
    <row r="8" spans="2:20" ht="20">
      <c r="B8" s="749" t="s">
        <v>483</v>
      </c>
      <c r="C8" s="749"/>
      <c r="D8" s="749"/>
      <c r="E8" s="749"/>
      <c r="F8" s="749"/>
      <c r="G8" s="749"/>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597</v>
      </c>
      <c r="G12" s="28"/>
      <c r="L12" s="33"/>
      <c r="M12" s="33"/>
      <c r="N12" s="33"/>
      <c r="O12" s="33"/>
      <c r="P12" s="33"/>
      <c r="Q12" s="70"/>
      <c r="S12" s="8"/>
      <c r="T12" s="8"/>
    </row>
    <row r="13" spans="2:20" s="9" customFormat="1" ht="26.25" customHeight="1" thickBot="1">
      <c r="B13" s="104"/>
      <c r="C13" s="126" t="s">
        <v>640</v>
      </c>
      <c r="G13" s="111"/>
      <c r="L13" s="33"/>
      <c r="M13" s="33"/>
      <c r="N13" s="33"/>
      <c r="O13" s="33"/>
      <c r="P13" s="33"/>
      <c r="Q13" s="70"/>
      <c r="S13" s="8"/>
      <c r="T13" s="8"/>
    </row>
    <row r="14" spans="2:20" s="9" customFormat="1" ht="26.25" customHeight="1" thickBot="1">
      <c r="B14" s="104"/>
      <c r="C14" s="174" t="s">
        <v>635</v>
      </c>
      <c r="G14" s="125"/>
      <c r="L14" s="33"/>
      <c r="M14" s="33"/>
      <c r="N14" s="33"/>
      <c r="O14" s="33"/>
      <c r="P14" s="33"/>
      <c r="Q14" s="70"/>
      <c r="S14" s="8"/>
      <c r="T14" s="8"/>
    </row>
    <row r="15" spans="2:20" s="9" customFormat="1" ht="26.25" customHeight="1" thickBot="1">
      <c r="B15" s="104"/>
      <c r="C15" s="174" t="s">
        <v>636</v>
      </c>
      <c r="G15" s="125"/>
      <c r="L15" s="33"/>
      <c r="M15" s="33"/>
      <c r="N15" s="33"/>
      <c r="O15" s="33"/>
      <c r="P15" s="33"/>
      <c r="Q15" s="70"/>
      <c r="S15" s="8"/>
      <c r="T15" s="8"/>
    </row>
    <row r="16" spans="2:20" s="9" customFormat="1" ht="26.25" customHeight="1" thickBot="1">
      <c r="B16" s="104"/>
      <c r="C16" s="174" t="s">
        <v>637</v>
      </c>
      <c r="G16" s="125"/>
      <c r="L16" s="33"/>
      <c r="M16" s="33"/>
      <c r="N16" s="33"/>
      <c r="O16" s="33"/>
      <c r="P16" s="33"/>
      <c r="Q16" s="70"/>
      <c r="S16" s="8"/>
      <c r="T16" s="8"/>
    </row>
    <row r="17" spans="2:20" s="9" customFormat="1" ht="26.25" customHeight="1" thickBot="1">
      <c r="B17" s="104"/>
      <c r="C17" s="126" t="s">
        <v>638</v>
      </c>
      <c r="G17" s="111"/>
      <c r="L17" s="33"/>
      <c r="M17" s="33"/>
      <c r="N17" s="33"/>
      <c r="O17" s="33"/>
      <c r="P17" s="33"/>
      <c r="Q17" s="70"/>
      <c r="S17" s="8"/>
      <c r="T17" s="8"/>
    </row>
    <row r="18" spans="2:20" s="9" customFormat="1" ht="26.25" customHeight="1" thickBot="1">
      <c r="B18" s="104"/>
      <c r="C18" s="126" t="s">
        <v>639</v>
      </c>
      <c r="G18" s="125"/>
      <c r="L18" s="33"/>
      <c r="M18" s="33"/>
      <c r="N18" s="33"/>
      <c r="O18" s="33"/>
      <c r="P18" s="33"/>
      <c r="Q18" s="70"/>
      <c r="S18" s="8"/>
      <c r="T18" s="8"/>
    </row>
    <row r="19" spans="2:20" s="9" customFormat="1" ht="26.25" customHeight="1" thickBot="1">
      <c r="B19" s="104"/>
      <c r="C19" s="126" t="s">
        <v>641</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544</v>
      </c>
      <c r="C21" s="245" t="s">
        <v>473</v>
      </c>
      <c r="D21" s="245" t="s">
        <v>449</v>
      </c>
      <c r="E21" s="245" t="s">
        <v>441</v>
      </c>
      <c r="F21" s="245" t="s">
        <v>557</v>
      </c>
      <c r="G21" s="40"/>
      <c r="M21" s="25"/>
      <c r="T21" s="25"/>
    </row>
    <row r="22" spans="2:20" s="105" customFormat="1" ht="36" customHeight="1">
      <c r="B22" s="649" t="s">
        <v>547</v>
      </c>
      <c r="C22" s="655" t="s">
        <v>439</v>
      </c>
      <c r="D22" s="658" t="s">
        <v>445</v>
      </c>
      <c r="E22" s="662" t="s">
        <v>596</v>
      </c>
      <c r="F22" s="658" t="s">
        <v>450</v>
      </c>
      <c r="G22" s="176"/>
      <c r="M22" s="647"/>
      <c r="T22" s="647"/>
    </row>
    <row r="23" spans="2:20" s="105" customFormat="1" ht="35.25" customHeight="1">
      <c r="B23" s="650" t="s">
        <v>460</v>
      </c>
      <c r="C23" s="656" t="s">
        <v>440</v>
      </c>
      <c r="D23" s="659" t="s">
        <v>446</v>
      </c>
      <c r="E23" s="663" t="s">
        <v>596</v>
      </c>
      <c r="F23" s="659" t="s">
        <v>450</v>
      </c>
      <c r="G23" s="176"/>
      <c r="M23" s="647"/>
      <c r="T23" s="647"/>
    </row>
    <row r="24" spans="2:20" s="105" customFormat="1" ht="34.5" customHeight="1">
      <c r="B24" s="650" t="s">
        <v>457</v>
      </c>
      <c r="C24" s="656" t="s">
        <v>440</v>
      </c>
      <c r="D24" s="659" t="s">
        <v>447</v>
      </c>
      <c r="E24" s="663" t="s">
        <v>596</v>
      </c>
      <c r="F24" s="659" t="s">
        <v>450</v>
      </c>
      <c r="G24" s="176"/>
      <c r="M24" s="647"/>
      <c r="T24" s="647"/>
    </row>
    <row r="25" spans="2:20" s="105" customFormat="1" ht="32.25" customHeight="1">
      <c r="B25" s="651" t="s">
        <v>458</v>
      </c>
      <c r="C25" s="656" t="s">
        <v>439</v>
      </c>
      <c r="D25" s="659" t="s">
        <v>448</v>
      </c>
      <c r="E25" s="664" t="s">
        <v>617</v>
      </c>
      <c r="F25" s="667"/>
      <c r="G25" s="176"/>
      <c r="M25" s="647"/>
      <c r="T25" s="647"/>
    </row>
    <row r="26" spans="2:20" s="105" customFormat="1" ht="30.75" customHeight="1">
      <c r="B26" s="652" t="s">
        <v>545</v>
      </c>
      <c r="C26" s="656" t="s">
        <v>439</v>
      </c>
      <c r="D26" s="659"/>
      <c r="E26" s="664"/>
      <c r="F26" s="667"/>
      <c r="G26" s="176"/>
      <c r="M26" s="647"/>
      <c r="T26" s="647"/>
    </row>
    <row r="27" spans="2:20" s="105" customFormat="1" ht="32.25" customHeight="1">
      <c r="B27" s="653" t="s">
        <v>546</v>
      </c>
      <c r="C27" s="656" t="s">
        <v>439</v>
      </c>
      <c r="D27" s="660" t="s">
        <v>542</v>
      </c>
      <c r="E27" s="664"/>
      <c r="F27" s="667"/>
      <c r="G27" s="176"/>
      <c r="M27" s="647"/>
      <c r="T27" s="647"/>
    </row>
    <row r="28" spans="2:20" s="105" customFormat="1" ht="27" customHeight="1">
      <c r="B28" s="651" t="s">
        <v>459</v>
      </c>
      <c r="C28" s="656" t="s">
        <v>442</v>
      </c>
      <c r="D28" s="659" t="s">
        <v>484</v>
      </c>
      <c r="E28" s="664" t="s">
        <v>461</v>
      </c>
      <c r="F28" s="667"/>
      <c r="G28" s="176"/>
      <c r="M28" s="647"/>
      <c r="T28" s="647"/>
    </row>
    <row r="29" spans="2:20" s="105" customFormat="1" ht="27" customHeight="1">
      <c r="B29" s="653" t="s">
        <v>454</v>
      </c>
      <c r="C29" s="656" t="s">
        <v>439</v>
      </c>
      <c r="D29" s="659"/>
      <c r="E29" s="664"/>
      <c r="F29" s="659" t="s">
        <v>409</v>
      </c>
      <c r="G29" s="176"/>
      <c r="M29" s="647"/>
      <c r="T29" s="647"/>
    </row>
    <row r="30" spans="2:20" s="105" customFormat="1" ht="32.25" customHeight="1">
      <c r="B30" s="651" t="s">
        <v>208</v>
      </c>
      <c r="C30" s="656" t="s">
        <v>444</v>
      </c>
      <c r="D30" s="659" t="s">
        <v>559</v>
      </c>
      <c r="E30" s="665"/>
      <c r="F30" s="659" t="s">
        <v>558</v>
      </c>
      <c r="G30" s="648"/>
      <c r="M30" s="647"/>
    </row>
    <row r="31" spans="2:20" s="105" customFormat="1" ht="27.75" customHeight="1">
      <c r="B31" s="654" t="s">
        <v>543</v>
      </c>
      <c r="C31" s="657" t="s">
        <v>443</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412</v>
      </c>
      <c r="B1" s="8" t="s">
        <v>41</v>
      </c>
      <c r="C1" s="122" t="s">
        <v>235</v>
      </c>
      <c r="D1" s="8" t="s">
        <v>417</v>
      </c>
      <c r="E1" s="122" t="s">
        <v>452</v>
      </c>
      <c r="F1" s="122" t="s">
        <v>553</v>
      </c>
      <c r="G1" s="122" t="s">
        <v>579</v>
      </c>
      <c r="H1" s="122" t="s">
        <v>590</v>
      </c>
    </row>
    <row r="2" spans="1:8">
      <c r="A2" s="12" t="s">
        <v>29</v>
      </c>
      <c r="B2" s="12" t="s">
        <v>27</v>
      </c>
      <c r="C2" s="10">
        <v>2006</v>
      </c>
      <c r="D2" s="12" t="s">
        <v>418</v>
      </c>
      <c r="E2" s="10">
        <f>'2. LRAMVA Threshold'!D9</f>
        <v>2013</v>
      </c>
      <c r="F2" s="26" t="s">
        <v>171</v>
      </c>
      <c r="G2" s="12" t="s">
        <v>580</v>
      </c>
      <c r="H2" s="12" t="s">
        <v>598</v>
      </c>
    </row>
    <row r="3" spans="1:8">
      <c r="A3" s="12" t="s">
        <v>373</v>
      </c>
      <c r="B3" s="12" t="s">
        <v>27</v>
      </c>
      <c r="C3" s="10">
        <v>2007</v>
      </c>
      <c r="D3" s="12" t="s">
        <v>419</v>
      </c>
      <c r="E3" s="10">
        <f>'2. LRAMVA Threshold'!D24</f>
        <v>0</v>
      </c>
      <c r="F3" s="12" t="s">
        <v>554</v>
      </c>
      <c r="G3" s="12" t="s">
        <v>581</v>
      </c>
      <c r="H3" s="12" t="s">
        <v>591</v>
      </c>
    </row>
    <row r="4" spans="1:8">
      <c r="A4" s="12" t="s">
        <v>374</v>
      </c>
      <c r="B4" s="12" t="s">
        <v>28</v>
      </c>
      <c r="C4" s="10">
        <v>2008</v>
      </c>
      <c r="D4" s="12" t="s">
        <v>420</v>
      </c>
      <c r="F4" s="12" t="s">
        <v>170</v>
      </c>
      <c r="G4" s="12" t="s">
        <v>582</v>
      </c>
    </row>
    <row r="5" spans="1:8">
      <c r="A5" s="12" t="s">
        <v>375</v>
      </c>
      <c r="B5" s="12" t="s">
        <v>28</v>
      </c>
      <c r="C5" s="10">
        <v>2009</v>
      </c>
      <c r="F5" s="12" t="s">
        <v>370</v>
      </c>
      <c r="G5" s="12" t="s">
        <v>583</v>
      </c>
    </row>
    <row r="6" spans="1:8">
      <c r="A6" s="12" t="s">
        <v>376</v>
      </c>
      <c r="B6" s="12" t="s">
        <v>28</v>
      </c>
      <c r="C6" s="10">
        <v>2010</v>
      </c>
      <c r="F6" s="12" t="s">
        <v>371</v>
      </c>
      <c r="G6" s="12" t="s">
        <v>584</v>
      </c>
    </row>
    <row r="7" spans="1:8">
      <c r="A7" s="12" t="s">
        <v>377</v>
      </c>
      <c r="B7" s="12" t="s">
        <v>28</v>
      </c>
      <c r="C7" s="10">
        <v>2011</v>
      </c>
      <c r="F7" s="12" t="s">
        <v>372</v>
      </c>
      <c r="G7" s="12" t="s">
        <v>585</v>
      </c>
    </row>
    <row r="8" spans="1:8">
      <c r="A8" s="12" t="s">
        <v>378</v>
      </c>
      <c r="B8" s="12" t="s">
        <v>28</v>
      </c>
      <c r="C8" s="10">
        <v>2012</v>
      </c>
      <c r="F8" s="12" t="s">
        <v>562</v>
      </c>
      <c r="G8" s="12" t="s">
        <v>586</v>
      </c>
    </row>
    <row r="9" spans="1:8">
      <c r="A9" s="12" t="s">
        <v>379</v>
      </c>
      <c r="B9" s="12" t="s">
        <v>28</v>
      </c>
      <c r="C9" s="10">
        <v>2013</v>
      </c>
      <c r="G9" s="12" t="s">
        <v>587</v>
      </c>
    </row>
    <row r="10" spans="1:8">
      <c r="A10" s="12" t="s">
        <v>380</v>
      </c>
      <c r="B10" s="12" t="s">
        <v>28</v>
      </c>
      <c r="C10" s="10">
        <v>2014</v>
      </c>
      <c r="G10" s="12" t="s">
        <v>588</v>
      </c>
    </row>
    <row r="11" spans="1:8">
      <c r="A11" s="12" t="s">
        <v>381</v>
      </c>
      <c r="B11" s="12" t="s">
        <v>28</v>
      </c>
      <c r="C11" s="10">
        <v>2015</v>
      </c>
      <c r="G11" s="12" t="s">
        <v>589</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Normal="100" workbookViewId="0">
      <pane ySplit="16" topLeftCell="A32" activePane="bottomLeft" state="frozen"/>
      <selection pane="bottomLeft" activeCell="X26" sqref="X26"/>
    </sheetView>
  </sheetViews>
  <sheetFormatPr defaultColWidth="9.1796875" defaultRowHeight="14.5"/>
  <cols>
    <col min="1" max="1" width="9.1796875" style="12"/>
    <col min="2" max="2" width="36.81640625" style="718" customWidth="1"/>
    <col min="3" max="3" width="9.1796875" style="10"/>
    <col min="4" max="16384" width="9.1796875" style="12"/>
  </cols>
  <sheetData>
    <row r="16" spans="2:21" ht="26.25" customHeight="1">
      <c r="B16" s="719" t="s">
        <v>565</v>
      </c>
      <c r="C16" s="762" t="s">
        <v>508</v>
      </c>
      <c r="D16" s="763"/>
      <c r="E16" s="763"/>
      <c r="F16" s="763"/>
      <c r="G16" s="763"/>
      <c r="H16" s="763"/>
      <c r="I16" s="763"/>
      <c r="J16" s="763"/>
      <c r="K16" s="763"/>
      <c r="L16" s="763"/>
      <c r="M16" s="763"/>
      <c r="N16" s="763"/>
      <c r="O16" s="763"/>
      <c r="P16" s="763"/>
      <c r="Q16" s="763"/>
      <c r="R16" s="763"/>
      <c r="S16" s="763"/>
      <c r="T16" s="763"/>
      <c r="U16" s="763"/>
    </row>
    <row r="17" spans="2:21" ht="55.5" customHeight="1">
      <c r="B17" s="720" t="s">
        <v>649</v>
      </c>
      <c r="C17" s="764" t="s">
        <v>650</v>
      </c>
      <c r="D17" s="764"/>
      <c r="E17" s="764"/>
      <c r="F17" s="764"/>
      <c r="G17" s="764"/>
      <c r="H17" s="764"/>
      <c r="I17" s="764"/>
      <c r="J17" s="764"/>
      <c r="K17" s="764"/>
      <c r="L17" s="764"/>
      <c r="M17" s="764"/>
      <c r="N17" s="764"/>
      <c r="O17" s="764"/>
      <c r="P17" s="764"/>
      <c r="Q17" s="764"/>
      <c r="R17" s="764"/>
      <c r="S17" s="764"/>
      <c r="T17" s="764"/>
      <c r="U17" s="765"/>
    </row>
    <row r="18" spans="2:21" ht="15.5">
      <c r="B18" s="721"/>
      <c r="C18" s="722"/>
      <c r="D18" s="723"/>
      <c r="E18" s="723"/>
      <c r="F18" s="723"/>
      <c r="G18" s="723"/>
      <c r="H18" s="723"/>
      <c r="I18" s="723"/>
      <c r="J18" s="723"/>
      <c r="K18" s="723"/>
      <c r="L18" s="723"/>
      <c r="M18" s="723"/>
      <c r="N18" s="723"/>
      <c r="O18" s="723"/>
      <c r="P18" s="723"/>
      <c r="Q18" s="723"/>
      <c r="R18" s="723"/>
      <c r="S18" s="723"/>
      <c r="T18" s="723"/>
      <c r="U18" s="724"/>
    </row>
    <row r="19" spans="2:21" ht="15.5">
      <c r="B19" s="721"/>
      <c r="C19" s="722" t="s">
        <v>654</v>
      </c>
      <c r="D19" s="723"/>
      <c r="E19" s="723"/>
      <c r="F19" s="723"/>
      <c r="G19" s="723"/>
      <c r="H19" s="723"/>
      <c r="I19" s="723"/>
      <c r="J19" s="723"/>
      <c r="K19" s="723"/>
      <c r="L19" s="723"/>
      <c r="M19" s="723"/>
      <c r="N19" s="723"/>
      <c r="O19" s="723"/>
      <c r="P19" s="723"/>
      <c r="Q19" s="723"/>
      <c r="R19" s="723"/>
      <c r="S19" s="723"/>
      <c r="T19" s="723"/>
      <c r="U19" s="724"/>
    </row>
    <row r="20" spans="2:21" ht="15.5">
      <c r="B20" s="721"/>
      <c r="C20" s="722"/>
      <c r="D20" s="723"/>
      <c r="E20" s="723"/>
      <c r="F20" s="723"/>
      <c r="G20" s="723"/>
      <c r="H20" s="723"/>
      <c r="I20" s="723"/>
      <c r="J20" s="723"/>
      <c r="K20" s="723"/>
      <c r="L20" s="723"/>
      <c r="M20" s="723"/>
      <c r="N20" s="723"/>
      <c r="O20" s="723"/>
      <c r="P20" s="723"/>
      <c r="Q20" s="723"/>
      <c r="R20" s="723"/>
      <c r="S20" s="723"/>
      <c r="T20" s="723"/>
      <c r="U20" s="724"/>
    </row>
    <row r="21" spans="2:21" ht="15.5">
      <c r="B21" s="721"/>
      <c r="C21" s="722" t="s">
        <v>651</v>
      </c>
      <c r="D21" s="723"/>
      <c r="E21" s="723"/>
      <c r="F21" s="723"/>
      <c r="G21" s="723"/>
      <c r="H21" s="723"/>
      <c r="I21" s="723"/>
      <c r="J21" s="723"/>
      <c r="K21" s="723"/>
      <c r="L21" s="723"/>
      <c r="M21" s="723"/>
      <c r="N21" s="723"/>
      <c r="O21" s="723"/>
      <c r="P21" s="723"/>
      <c r="Q21" s="723"/>
      <c r="R21" s="723"/>
      <c r="S21" s="723"/>
      <c r="T21" s="723"/>
      <c r="U21" s="724"/>
    </row>
    <row r="22" spans="2:21" ht="15.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761" t="s">
        <v>652</v>
      </c>
      <c r="D23" s="761"/>
      <c r="E23" s="761"/>
      <c r="F23" s="761"/>
      <c r="G23" s="761"/>
      <c r="H23" s="761"/>
      <c r="I23" s="761"/>
      <c r="J23" s="761"/>
      <c r="K23" s="761"/>
      <c r="L23" s="761"/>
      <c r="M23" s="761"/>
      <c r="N23" s="761"/>
      <c r="O23" s="761"/>
      <c r="P23" s="761"/>
      <c r="Q23" s="761"/>
      <c r="R23" s="761"/>
      <c r="S23" s="761"/>
      <c r="T23" s="723"/>
      <c r="U23" s="724"/>
    </row>
    <row r="24" spans="2:21" ht="15.5">
      <c r="B24" s="721"/>
      <c r="C24" s="722"/>
      <c r="D24" s="723"/>
      <c r="E24" s="723"/>
      <c r="F24" s="723"/>
      <c r="G24" s="723"/>
      <c r="H24" s="723"/>
      <c r="I24" s="723"/>
      <c r="J24" s="723"/>
      <c r="K24" s="723"/>
      <c r="L24" s="723"/>
      <c r="M24" s="723"/>
      <c r="N24" s="723"/>
      <c r="O24" s="723"/>
      <c r="P24" s="723"/>
      <c r="Q24" s="723"/>
      <c r="R24" s="723"/>
      <c r="S24" s="723"/>
      <c r="T24" s="723"/>
      <c r="U24" s="724"/>
    </row>
    <row r="25" spans="2:21" ht="15.5">
      <c r="B25" s="721"/>
      <c r="C25" s="722" t="s">
        <v>655</v>
      </c>
      <c r="D25" s="723"/>
      <c r="E25" s="723"/>
      <c r="F25" s="723"/>
      <c r="G25" s="723"/>
      <c r="H25" s="723"/>
      <c r="I25" s="723"/>
      <c r="J25" s="723"/>
      <c r="K25" s="723"/>
      <c r="L25" s="723"/>
      <c r="M25" s="723"/>
      <c r="N25" s="723"/>
      <c r="O25" s="723"/>
      <c r="P25" s="723"/>
      <c r="Q25" s="723"/>
      <c r="R25" s="723"/>
      <c r="S25" s="723"/>
      <c r="T25" s="723"/>
      <c r="U25" s="724"/>
    </row>
    <row r="26" spans="2:21" ht="15.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761" t="s">
        <v>653</v>
      </c>
      <c r="D27" s="761"/>
      <c r="E27" s="761"/>
      <c r="F27" s="761"/>
      <c r="G27" s="761"/>
      <c r="H27" s="761"/>
      <c r="I27" s="761"/>
      <c r="J27" s="761"/>
      <c r="K27" s="761"/>
      <c r="L27" s="761"/>
      <c r="M27" s="761"/>
      <c r="N27" s="761"/>
      <c r="O27" s="761"/>
      <c r="P27" s="761"/>
      <c r="Q27" s="761"/>
      <c r="R27" s="761"/>
      <c r="S27" s="761"/>
      <c r="T27" s="761"/>
      <c r="U27" s="766"/>
    </row>
    <row r="28" spans="2:21" ht="15.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761" t="s">
        <v>656</v>
      </c>
      <c r="D29" s="761"/>
      <c r="E29" s="761"/>
      <c r="F29" s="761"/>
      <c r="G29" s="761"/>
      <c r="H29" s="761"/>
      <c r="I29" s="761"/>
      <c r="J29" s="761"/>
      <c r="K29" s="761"/>
      <c r="L29" s="761"/>
      <c r="M29" s="761"/>
      <c r="N29" s="761"/>
      <c r="O29" s="761"/>
      <c r="P29" s="761"/>
      <c r="Q29" s="761"/>
      <c r="R29" s="761"/>
      <c r="S29" s="761"/>
      <c r="T29" s="761"/>
      <c r="U29" s="766"/>
    </row>
    <row r="30" spans="2:21" ht="15.5">
      <c r="B30" s="721"/>
      <c r="C30" s="722"/>
      <c r="D30" s="723"/>
      <c r="E30" s="723"/>
      <c r="F30" s="723"/>
      <c r="G30" s="723"/>
      <c r="H30" s="723"/>
      <c r="I30" s="723"/>
      <c r="J30" s="723"/>
      <c r="K30" s="723"/>
      <c r="L30" s="723"/>
      <c r="M30" s="723"/>
      <c r="N30" s="723"/>
      <c r="O30" s="723"/>
      <c r="P30" s="723"/>
      <c r="Q30" s="723"/>
      <c r="R30" s="723"/>
      <c r="S30" s="723"/>
      <c r="T30" s="723"/>
      <c r="U30" s="724"/>
    </row>
    <row r="31" spans="2:21" ht="15.5">
      <c r="B31" s="721"/>
      <c r="C31" s="722" t="s">
        <v>657</v>
      </c>
      <c r="D31" s="723"/>
      <c r="E31" s="723"/>
      <c r="F31" s="723"/>
      <c r="G31" s="723"/>
      <c r="H31" s="723"/>
      <c r="I31" s="723"/>
      <c r="J31" s="723"/>
      <c r="K31" s="723"/>
      <c r="L31" s="723"/>
      <c r="M31" s="723"/>
      <c r="N31" s="723"/>
      <c r="O31" s="723"/>
      <c r="P31" s="723"/>
      <c r="Q31" s="723"/>
      <c r="R31" s="723"/>
      <c r="S31" s="723"/>
      <c r="T31" s="723"/>
      <c r="U31" s="724"/>
    </row>
    <row r="32" spans="2:21" ht="15.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658</v>
      </c>
      <c r="C33" s="767" t="s">
        <v>659</v>
      </c>
      <c r="D33" s="767"/>
      <c r="E33" s="767"/>
      <c r="F33" s="767"/>
      <c r="G33" s="767"/>
      <c r="H33" s="767"/>
      <c r="I33" s="767"/>
      <c r="J33" s="767"/>
      <c r="K33" s="767"/>
      <c r="L33" s="767"/>
      <c r="M33" s="767"/>
      <c r="N33" s="767"/>
      <c r="O33" s="767"/>
      <c r="P33" s="767"/>
      <c r="Q33" s="767"/>
      <c r="R33" s="767"/>
      <c r="S33" s="767"/>
      <c r="T33" s="767"/>
      <c r="U33" s="768"/>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5">
      <c r="B35" s="733" t="s">
        <v>660</v>
      </c>
      <c r="C35" s="734" t="s">
        <v>661</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662</v>
      </c>
      <c r="C37" s="769" t="s">
        <v>663</v>
      </c>
      <c r="D37" s="769"/>
      <c r="E37" s="769"/>
      <c r="F37" s="769"/>
      <c r="G37" s="769"/>
      <c r="H37" s="769"/>
      <c r="I37" s="769"/>
      <c r="J37" s="769"/>
      <c r="K37" s="769"/>
      <c r="L37" s="769"/>
      <c r="M37" s="769"/>
      <c r="N37" s="769"/>
      <c r="O37" s="769"/>
      <c r="P37" s="769"/>
      <c r="Q37" s="769"/>
      <c r="R37" s="769"/>
      <c r="S37" s="769"/>
      <c r="T37" s="769"/>
      <c r="U37" s="770"/>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5">
      <c r="B39" s="720" t="s">
        <v>664</v>
      </c>
      <c r="C39" s="736" t="s">
        <v>665</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666</v>
      </c>
      <c r="C41" s="771" t="s">
        <v>667</v>
      </c>
      <c r="D41" s="771"/>
      <c r="E41" s="771"/>
      <c r="F41" s="771"/>
      <c r="G41" s="771"/>
      <c r="H41" s="771"/>
      <c r="I41" s="771"/>
      <c r="J41" s="771"/>
      <c r="K41" s="771"/>
      <c r="L41" s="771"/>
      <c r="M41" s="771"/>
      <c r="N41" s="771"/>
      <c r="O41" s="771"/>
      <c r="P41" s="771"/>
      <c r="Q41" s="771"/>
      <c r="R41" s="771"/>
      <c r="S41" s="771"/>
      <c r="T41" s="771"/>
      <c r="U41" s="772"/>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5">
      <c r="B43" s="733" t="s">
        <v>668</v>
      </c>
      <c r="C43" s="734" t="s">
        <v>669</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759" t="s">
        <v>673</v>
      </c>
      <c r="D45" s="759"/>
      <c r="E45" s="759"/>
      <c r="F45" s="759"/>
      <c r="G45" s="759"/>
      <c r="H45" s="759"/>
      <c r="I45" s="759"/>
      <c r="J45" s="759"/>
      <c r="K45" s="759"/>
      <c r="L45" s="759"/>
      <c r="M45" s="759"/>
      <c r="N45" s="759"/>
      <c r="O45" s="759"/>
      <c r="P45" s="759"/>
      <c r="Q45" s="759"/>
      <c r="R45" s="759"/>
      <c r="S45" s="759"/>
      <c r="T45" s="759"/>
      <c r="U45" s="760"/>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759" t="s">
        <v>670</v>
      </c>
      <c r="D47" s="759"/>
      <c r="E47" s="759"/>
      <c r="F47" s="759"/>
      <c r="G47" s="759"/>
      <c r="H47" s="759"/>
      <c r="I47" s="759"/>
      <c r="J47" s="759"/>
      <c r="K47" s="759"/>
      <c r="L47" s="759"/>
      <c r="M47" s="759"/>
      <c r="N47" s="759"/>
      <c r="O47" s="759"/>
      <c r="P47" s="759"/>
      <c r="Q47" s="759"/>
      <c r="R47" s="759"/>
      <c r="S47" s="759"/>
      <c r="T47" s="759"/>
      <c r="U47" s="760"/>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759" t="s">
        <v>671</v>
      </c>
      <c r="D49" s="759"/>
      <c r="E49" s="759"/>
      <c r="F49" s="759"/>
      <c r="G49" s="759"/>
      <c r="H49" s="759"/>
      <c r="I49" s="759"/>
      <c r="J49" s="759"/>
      <c r="K49" s="759"/>
      <c r="L49" s="759"/>
      <c r="M49" s="759"/>
      <c r="N49" s="759"/>
      <c r="O49" s="759"/>
      <c r="P49" s="759"/>
      <c r="Q49" s="759"/>
      <c r="R49" s="759"/>
      <c r="S49" s="759"/>
      <c r="T49" s="759"/>
      <c r="U49" s="760"/>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759" t="s">
        <v>672</v>
      </c>
      <c r="D51" s="759"/>
      <c r="E51" s="759"/>
      <c r="F51" s="759"/>
      <c r="G51" s="759"/>
      <c r="H51" s="759"/>
      <c r="I51" s="759"/>
      <c r="J51" s="759"/>
      <c r="K51" s="759"/>
      <c r="L51" s="759"/>
      <c r="M51" s="759"/>
      <c r="N51" s="759"/>
      <c r="O51" s="759"/>
      <c r="P51" s="759"/>
      <c r="Q51" s="759"/>
      <c r="R51" s="759"/>
      <c r="S51" s="759"/>
      <c r="T51" s="759"/>
      <c r="U51" s="760"/>
    </row>
    <row r="52" spans="2:21" ht="15.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761" t="s">
        <v>674</v>
      </c>
      <c r="D53" s="761"/>
      <c r="E53" s="761"/>
      <c r="F53" s="761"/>
      <c r="G53" s="761"/>
      <c r="H53" s="761"/>
      <c r="I53" s="761"/>
      <c r="J53" s="761"/>
      <c r="K53" s="761"/>
      <c r="L53" s="761"/>
      <c r="M53" s="761"/>
      <c r="N53" s="761"/>
      <c r="O53" s="761"/>
      <c r="P53" s="761"/>
      <c r="Q53" s="761"/>
      <c r="R53" s="761"/>
      <c r="S53" s="761"/>
      <c r="T53" s="761"/>
      <c r="U53" s="766"/>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675</v>
      </c>
      <c r="C55" s="769" t="s">
        <v>676</v>
      </c>
      <c r="D55" s="769"/>
      <c r="E55" s="769"/>
      <c r="F55" s="769"/>
      <c r="G55" s="769"/>
      <c r="H55" s="769"/>
      <c r="I55" s="769"/>
      <c r="J55" s="769"/>
      <c r="K55" s="769"/>
      <c r="L55" s="769"/>
      <c r="M55" s="769"/>
      <c r="N55" s="769"/>
      <c r="O55" s="769"/>
      <c r="P55" s="769"/>
      <c r="Q55" s="769"/>
      <c r="R55" s="769"/>
      <c r="S55" s="769"/>
      <c r="T55" s="769"/>
      <c r="U55" s="770"/>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677</v>
      </c>
      <c r="C57" s="769" t="s">
        <v>678</v>
      </c>
      <c r="D57" s="769"/>
      <c r="E57" s="769"/>
      <c r="F57" s="769"/>
      <c r="G57" s="769"/>
      <c r="H57" s="769"/>
      <c r="I57" s="769"/>
      <c r="J57" s="769"/>
      <c r="K57" s="769"/>
      <c r="L57" s="769"/>
      <c r="M57" s="769"/>
      <c r="N57" s="769"/>
      <c r="O57" s="769"/>
      <c r="P57" s="769"/>
      <c r="Q57" s="769"/>
      <c r="R57" s="769"/>
      <c r="S57" s="769"/>
      <c r="T57" s="769"/>
      <c r="U57" s="770"/>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679</v>
      </c>
      <c r="C59" s="741" t="s">
        <v>680</v>
      </c>
      <c r="D59" s="742"/>
      <c r="E59" s="742"/>
      <c r="F59" s="742"/>
      <c r="G59" s="742"/>
      <c r="H59" s="742"/>
      <c r="I59" s="742"/>
      <c r="J59" s="742"/>
      <c r="K59" s="742"/>
      <c r="L59" s="742"/>
      <c r="M59" s="742"/>
      <c r="N59" s="742"/>
      <c r="O59" s="742"/>
      <c r="P59" s="742"/>
      <c r="Q59" s="742"/>
      <c r="R59" s="742"/>
      <c r="S59" s="742"/>
      <c r="T59" s="742"/>
      <c r="U59" s="74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A37" zoomScale="80" zoomScaleNormal="80" workbookViewId="0">
      <selection activeCell="H83" sqref="A50:H83"/>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555</v>
      </c>
      <c r="D6" s="17"/>
      <c r="E6" s="9"/>
      <c r="T6" s="9"/>
      <c r="V6" s="8"/>
    </row>
    <row r="7" spans="2:22" ht="21" customHeight="1">
      <c r="B7" s="539"/>
      <c r="C7" s="17"/>
      <c r="D7" s="17"/>
      <c r="E7" s="9"/>
      <c r="T7" s="9"/>
      <c r="V7" s="8"/>
    </row>
    <row r="8" spans="2:22" ht="24.75" customHeight="1">
      <c r="B8" s="119" t="s">
        <v>240</v>
      </c>
      <c r="C8" s="191" t="s">
        <v>684</v>
      </c>
      <c r="D8" s="603"/>
      <c r="E8" s="9"/>
      <c r="T8" s="9"/>
      <c r="V8" s="8"/>
    </row>
    <row r="9" spans="2:22" ht="41.25" customHeight="1">
      <c r="B9" s="553" t="s">
        <v>524</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560</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511</v>
      </c>
      <c r="C13" s="17"/>
      <c r="F13" s="187" t="s">
        <v>512</v>
      </c>
      <c r="G13" s="36"/>
      <c r="H13" s="31"/>
      <c r="I13" s="9"/>
      <c r="J13" s="186" t="s">
        <v>509</v>
      </c>
      <c r="N13" s="105"/>
      <c r="P13" s="9"/>
      <c r="Q13" s="189"/>
      <c r="R13" s="42"/>
      <c r="T13" s="188"/>
      <c r="U13" s="188"/>
    </row>
    <row r="14" spans="2:22" ht="29.25" customHeight="1" thickBot="1">
      <c r="B14" s="126" t="s">
        <v>551</v>
      </c>
      <c r="D14" s="544" t="s">
        <v>713</v>
      </c>
      <c r="E14" s="132"/>
      <c r="F14" s="126" t="s">
        <v>552</v>
      </c>
      <c r="H14" s="544" t="s">
        <v>685</v>
      </c>
      <c r="J14" s="126" t="s">
        <v>519</v>
      </c>
      <c r="L14" s="134"/>
      <c r="N14" s="105"/>
      <c r="Q14" s="101"/>
      <c r="R14" s="98"/>
    </row>
    <row r="15" spans="2:22" ht="26.25" customHeight="1" thickBot="1">
      <c r="B15" s="126" t="s">
        <v>426</v>
      </c>
      <c r="C15" s="108"/>
      <c r="D15" s="544"/>
      <c r="F15" s="126" t="s">
        <v>416</v>
      </c>
      <c r="G15" s="129"/>
      <c r="H15" s="544" t="s">
        <v>686</v>
      </c>
      <c r="I15" s="17"/>
      <c r="J15" s="126" t="s">
        <v>520</v>
      </c>
      <c r="L15" s="134"/>
      <c r="M15" s="105"/>
      <c r="Q15" s="110"/>
      <c r="R15" s="98"/>
    </row>
    <row r="16" spans="2:22" ht="28.5" customHeight="1" thickBot="1">
      <c r="B16" s="126" t="s">
        <v>456</v>
      </c>
      <c r="C16" s="108"/>
      <c r="D16" s="545"/>
      <c r="E16" s="105"/>
      <c r="F16" s="126" t="s">
        <v>436</v>
      </c>
      <c r="G16" s="127"/>
      <c r="H16" s="545" t="s">
        <v>182</v>
      </c>
      <c r="I16" s="105"/>
      <c r="K16" s="197"/>
      <c r="L16" s="197"/>
      <c r="M16" s="197"/>
      <c r="N16" s="197"/>
      <c r="Q16" s="117"/>
      <c r="R16" s="98"/>
    </row>
    <row r="17" spans="1:21" ht="29.25" customHeight="1" thickBot="1">
      <c r="B17" s="126" t="s">
        <v>423</v>
      </c>
      <c r="C17" s="108"/>
      <c r="D17" s="134">
        <v>0</v>
      </c>
      <c r="E17" s="123"/>
      <c r="F17" s="126" t="s">
        <v>437</v>
      </c>
      <c r="G17" s="605" t="s">
        <v>364</v>
      </c>
      <c r="H17" s="244">
        <f>SUM(R52,R55,R58,R61,R64)</f>
        <v>33396.401353104142</v>
      </c>
      <c r="I17" s="17"/>
      <c r="K17" s="197"/>
      <c r="L17" s="197"/>
      <c r="M17" s="197"/>
      <c r="N17" s="197"/>
      <c r="P17" s="101"/>
      <c r="Q17" s="101"/>
      <c r="R17" s="98"/>
    </row>
    <row r="18" spans="1:21" ht="27.75" customHeight="1" thickBot="1">
      <c r="E18" s="9"/>
      <c r="F18" s="126" t="s">
        <v>438</v>
      </c>
      <c r="G18" s="605" t="s">
        <v>365</v>
      </c>
      <c r="H18" s="133">
        <f>-SUM(R53,R56,R59,R62,R65)</f>
        <v>27319.866000000002</v>
      </c>
      <c r="I18" s="17"/>
      <c r="J18" s="117"/>
      <c r="K18" s="117"/>
      <c r="L18" s="117"/>
      <c r="M18" s="117"/>
      <c r="N18" s="117"/>
      <c r="P18" s="117"/>
      <c r="Q18" s="117"/>
      <c r="R18" s="98"/>
    </row>
    <row r="19" spans="1:21" ht="27.75" customHeight="1" thickBot="1">
      <c r="E19" s="9"/>
      <c r="F19" s="126" t="s">
        <v>410</v>
      </c>
      <c r="G19" s="605" t="s">
        <v>366</v>
      </c>
      <c r="H19" s="190">
        <f>R82</f>
        <v>-47.010474810205935</v>
      </c>
      <c r="I19" s="17"/>
      <c r="J19" s="117"/>
      <c r="P19" s="117"/>
      <c r="Q19" s="117"/>
      <c r="R19" s="98"/>
    </row>
    <row r="20" spans="1:21" ht="27.75" customHeight="1">
      <c r="C20" s="32"/>
      <c r="D20" s="32"/>
      <c r="E20" s="32"/>
      <c r="F20" s="126" t="s">
        <v>513</v>
      </c>
      <c r="G20" s="605" t="s">
        <v>451</v>
      </c>
      <c r="H20" s="190">
        <f>H17-H18+H19</f>
        <v>6029.5248782939343</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775" t="s">
        <v>644</v>
      </c>
      <c r="C24" s="775"/>
      <c r="D24" s="775"/>
      <c r="E24" s="775"/>
      <c r="F24" s="775"/>
      <c r="G24" s="775"/>
    </row>
    <row r="25" spans="1:21" ht="14.25" customHeight="1">
      <c r="A25" s="28"/>
      <c r="B25" s="550"/>
      <c r="C25" s="550"/>
      <c r="D25" s="540"/>
      <c r="E25" s="540"/>
      <c r="F25" s="540"/>
      <c r="G25" s="550"/>
    </row>
    <row r="26" spans="1:21" s="17" customFormat="1" ht="27" customHeight="1">
      <c r="B26" s="776" t="s">
        <v>510</v>
      </c>
      <c r="C26" s="777"/>
      <c r="D26" s="135" t="s">
        <v>41</v>
      </c>
      <c r="E26" s="136" t="s">
        <v>571</v>
      </c>
      <c r="F26" s="136" t="s">
        <v>410</v>
      </c>
      <c r="G26" s="137" t="s">
        <v>411</v>
      </c>
      <c r="T26" s="138"/>
      <c r="U26" s="138"/>
    </row>
    <row r="27" spans="1:21" ht="20.25" customHeight="1">
      <c r="B27" s="773" t="s">
        <v>29</v>
      </c>
      <c r="C27" s="774"/>
      <c r="D27" s="640" t="s">
        <v>27</v>
      </c>
      <c r="E27" s="140">
        <f>SUM(D52:D65)</f>
        <v>-3580.737873963828</v>
      </c>
      <c r="F27" s="141">
        <f>D82</f>
        <v>-64.641453578467747</v>
      </c>
      <c r="G27" s="140">
        <f>E27+F27</f>
        <v>-3645.3793275422959</v>
      </c>
    </row>
    <row r="28" spans="1:21" ht="20.25" customHeight="1">
      <c r="B28" s="773" t="s">
        <v>373</v>
      </c>
      <c r="C28" s="774"/>
      <c r="D28" s="640" t="s">
        <v>27</v>
      </c>
      <c r="E28" s="142">
        <f>SUM(E52:E65)</f>
        <v>2535.7674481886488</v>
      </c>
      <c r="F28" s="143">
        <f>E82</f>
        <v>58.273095364498289</v>
      </c>
      <c r="G28" s="142">
        <f>E28+F28</f>
        <v>2594.040543553147</v>
      </c>
    </row>
    <row r="29" spans="1:21" ht="20.25" customHeight="1">
      <c r="B29" s="773" t="s">
        <v>687</v>
      </c>
      <c r="C29" s="774"/>
      <c r="D29" s="640" t="s">
        <v>28</v>
      </c>
      <c r="E29" s="142">
        <f>SUM(F52:F65)</f>
        <v>-3414.3964211206803</v>
      </c>
      <c r="F29" s="143">
        <f>F82</f>
        <v>-68.750220001236471</v>
      </c>
      <c r="G29" s="142">
        <f t="shared" ref="G29:G32" si="0">E29+F29</f>
        <v>-3483.1466411219167</v>
      </c>
    </row>
    <row r="30" spans="1:21" ht="20.25" customHeight="1">
      <c r="B30" s="773" t="s">
        <v>31</v>
      </c>
      <c r="C30" s="774"/>
      <c r="D30" s="640" t="s">
        <v>28</v>
      </c>
      <c r="E30" s="142">
        <f>SUM(G52:G65)</f>
        <v>10540.747199999998</v>
      </c>
      <c r="F30" s="143">
        <f>G82</f>
        <v>28.199853929999996</v>
      </c>
      <c r="G30" s="142">
        <f t="shared" si="0"/>
        <v>10568.947053929998</v>
      </c>
    </row>
    <row r="31" spans="1:21" ht="20.25" customHeight="1">
      <c r="B31" s="773" t="s">
        <v>32</v>
      </c>
      <c r="C31" s="774"/>
      <c r="D31" s="640" t="s">
        <v>27</v>
      </c>
      <c r="E31" s="142">
        <f>SUM(H52:H65)</f>
        <v>-4.8450000000000006</v>
      </c>
      <c r="F31" s="143">
        <f>H82</f>
        <v>-9.1750524999999999E-2</v>
      </c>
      <c r="G31" s="142">
        <f>E31+F31</f>
        <v>-4.9367505250000008</v>
      </c>
    </row>
    <row r="32" spans="1:21" ht="20.25" customHeight="1">
      <c r="B32" s="773"/>
      <c r="C32" s="774"/>
      <c r="D32" s="640"/>
      <c r="E32" s="142">
        <f>SUM(I52:I81)</f>
        <v>0</v>
      </c>
      <c r="F32" s="143">
        <f>I82</f>
        <v>0</v>
      </c>
      <c r="G32" s="142">
        <f t="shared" si="0"/>
        <v>0</v>
      </c>
    </row>
    <row r="33" spans="2:22" ht="20.25" customHeight="1">
      <c r="B33" s="773"/>
      <c r="C33" s="774"/>
      <c r="D33" s="640"/>
      <c r="E33" s="142">
        <f>SUM(J52:J81)</f>
        <v>0</v>
      </c>
      <c r="F33" s="143">
        <f>J82</f>
        <v>0</v>
      </c>
      <c r="G33" s="142">
        <f>E33+F33</f>
        <v>0</v>
      </c>
    </row>
    <row r="34" spans="2:22" ht="20.25" customHeight="1">
      <c r="B34" s="773"/>
      <c r="C34" s="774"/>
      <c r="D34" s="640"/>
      <c r="E34" s="142">
        <f>SUM(K52:K81)</f>
        <v>0</v>
      </c>
      <c r="F34" s="143">
        <f>K82</f>
        <v>0</v>
      </c>
      <c r="G34" s="142">
        <f t="shared" ref="G34:G40" si="1">E34+F34</f>
        <v>0</v>
      </c>
    </row>
    <row r="35" spans="2:22" ht="20.25" customHeight="1">
      <c r="B35" s="773"/>
      <c r="C35" s="774"/>
      <c r="D35" s="640"/>
      <c r="E35" s="142">
        <f>SUM(L52:L81)</f>
        <v>0</v>
      </c>
      <c r="F35" s="143">
        <f>L82</f>
        <v>0</v>
      </c>
      <c r="G35" s="142">
        <f t="shared" si="1"/>
        <v>0</v>
      </c>
    </row>
    <row r="36" spans="2:22" ht="20.25" customHeight="1">
      <c r="B36" s="773"/>
      <c r="C36" s="774"/>
      <c r="D36" s="640"/>
      <c r="E36" s="142">
        <f>SUM(M52:M81)</f>
        <v>0</v>
      </c>
      <c r="F36" s="143">
        <f>M82</f>
        <v>0</v>
      </c>
      <c r="G36" s="142">
        <f t="shared" si="1"/>
        <v>0</v>
      </c>
    </row>
    <row r="37" spans="2:22" ht="20.25" customHeight="1">
      <c r="B37" s="773"/>
      <c r="C37" s="774"/>
      <c r="D37" s="640"/>
      <c r="E37" s="142">
        <f>SUM(N52:N81)</f>
        <v>0</v>
      </c>
      <c r="F37" s="143">
        <f>N82</f>
        <v>0</v>
      </c>
      <c r="G37" s="142">
        <f t="shared" si="1"/>
        <v>0</v>
      </c>
    </row>
    <row r="38" spans="2:22" ht="20.25" customHeight="1">
      <c r="B38" s="773"/>
      <c r="C38" s="774"/>
      <c r="D38" s="640"/>
      <c r="E38" s="142">
        <f>SUM(O52:O81)</f>
        <v>0</v>
      </c>
      <c r="F38" s="143">
        <f>O82</f>
        <v>0</v>
      </c>
      <c r="G38" s="142">
        <f t="shared" si="1"/>
        <v>0</v>
      </c>
    </row>
    <row r="39" spans="2:22" ht="20.25" customHeight="1">
      <c r="B39" s="773"/>
      <c r="C39" s="774"/>
      <c r="D39" s="640"/>
      <c r="E39" s="142">
        <f>SUM(P52:P81)</f>
        <v>0</v>
      </c>
      <c r="F39" s="143">
        <f>P82</f>
        <v>0</v>
      </c>
      <c r="G39" s="142">
        <f t="shared" si="1"/>
        <v>0</v>
      </c>
    </row>
    <row r="40" spans="2:22" ht="20.25" customHeight="1">
      <c r="B40" s="773"/>
      <c r="C40" s="774"/>
      <c r="D40" s="641"/>
      <c r="E40" s="144">
        <f>SUM(Q52:Q81)</f>
        <v>0</v>
      </c>
      <c r="F40" s="145">
        <f>Q82</f>
        <v>0</v>
      </c>
      <c r="G40" s="144">
        <f t="shared" si="1"/>
        <v>0</v>
      </c>
    </row>
    <row r="41" spans="2:22" s="8" customFormat="1" ht="21" customHeight="1">
      <c r="B41" s="778" t="s">
        <v>26</v>
      </c>
      <c r="C41" s="779"/>
      <c r="D41" s="139"/>
      <c r="E41" s="146">
        <f>SUM(E27:E40)</f>
        <v>6076.5353531041383</v>
      </c>
      <c r="F41" s="146">
        <f>SUM(F27:F40)</f>
        <v>-47.010474810205935</v>
      </c>
      <c r="G41" s="146">
        <f>SUM(G27:G40)</f>
        <v>6029.5248782939325</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5" t="s">
        <v>620</v>
      </c>
      <c r="C46" s="775"/>
      <c r="D46" s="775"/>
      <c r="E46" s="775"/>
      <c r="F46" s="775"/>
      <c r="G46" s="775"/>
      <c r="H46" s="775"/>
      <c r="I46" s="775"/>
      <c r="J46" s="775"/>
      <c r="K46" s="775"/>
      <c r="L46" s="775"/>
      <c r="M46" s="619"/>
      <c r="N46" s="107"/>
      <c r="O46" s="107"/>
      <c r="P46" s="107"/>
      <c r="Q46" s="107"/>
      <c r="R46" s="107"/>
      <c r="T46" s="37"/>
      <c r="U46" s="19"/>
      <c r="V46" s="38"/>
    </row>
    <row r="47" spans="2:22" s="28" customFormat="1" ht="48" customHeight="1">
      <c r="B47" s="775" t="s">
        <v>570</v>
      </c>
      <c r="C47" s="775"/>
      <c r="D47" s="775"/>
      <c r="E47" s="775"/>
      <c r="F47" s="775"/>
      <c r="G47" s="775"/>
      <c r="H47" s="775"/>
      <c r="I47" s="775"/>
      <c r="J47" s="775"/>
      <c r="K47" s="775"/>
      <c r="L47" s="775"/>
      <c r="M47" s="619"/>
      <c r="N47" s="107"/>
      <c r="O47" s="107"/>
      <c r="P47" s="107"/>
      <c r="Q47" s="107"/>
      <c r="R47" s="107"/>
      <c r="T47" s="37"/>
      <c r="U47" s="19"/>
      <c r="V47" s="38"/>
    </row>
    <row r="48" spans="2:22" s="28" customFormat="1" ht="26.25" customHeight="1">
      <c r="B48" s="775" t="s">
        <v>629</v>
      </c>
      <c r="C48" s="775"/>
      <c r="D48" s="775"/>
      <c r="E48" s="775"/>
      <c r="F48" s="775"/>
      <c r="G48" s="775"/>
      <c r="H48" s="775"/>
      <c r="I48" s="775"/>
      <c r="J48" s="775"/>
      <c r="K48" s="775"/>
      <c r="L48" s="775"/>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521</v>
      </c>
      <c r="D50" s="137" t="str">
        <f>IF($B27&lt;&gt;"",$B27,"")</f>
        <v>Residential</v>
      </c>
      <c r="E50" s="137" t="str">
        <f>IF($B28&lt;&gt;"",$B28,"")</f>
        <v>GS&lt;50 kW</v>
      </c>
      <c r="F50" s="137" t="str">
        <f>IF($B29&lt;&gt;"",$B29,"")</f>
        <v>GS &gt; 50 to 4,999 Kw</v>
      </c>
      <c r="G50" s="137" t="str">
        <f>IF($B30&lt;&gt;"",$B30,"")</f>
        <v>Street Lighting</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kWh</v>
      </c>
      <c r="I51" s="578">
        <f>D32</f>
        <v>0</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589.74710000000005</v>
      </c>
      <c r="E52" s="152">
        <f>'4.  2011-2014 LRAM'!Z131</f>
        <v>48.486599999999996</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638.2337</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956.17258164515556</v>
      </c>
      <c r="E55" s="158">
        <f>'4.  2011-2014 LRAM'!Z261</f>
        <v>470.9126658690281</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1427.0852475141837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1777.1080237706794</v>
      </c>
      <c r="E58" s="158">
        <f>'4.  2011-2014 LRAM'!Z391</f>
        <v>1884.5897877749521</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3661.6978115456313</v>
      </c>
      <c r="U58" s="154"/>
      <c r="V58" s="155"/>
    </row>
    <row r="59" spans="2:22" s="165" customFormat="1">
      <c r="B59" s="156" t="s">
        <v>37</v>
      </c>
      <c r="C59" s="157"/>
      <c r="D59" s="158">
        <f>-'4.  2011-2014 LRAM'!Y392</f>
        <v>-5473.2746999999999</v>
      </c>
      <c r="E59" s="158">
        <f>-'4.  2011-2014 LRAM'!Z392</f>
        <v>-1483.7903999999999</v>
      </c>
      <c r="F59" s="158">
        <f>-'4.  2011-2014 LRAM'!AA392</f>
        <v>-1302.3220000000001</v>
      </c>
      <c r="G59" s="158">
        <f>-'4.  2011-2014 LRAM'!AB392</f>
        <v>-611.10720000000003</v>
      </c>
      <c r="H59" s="158">
        <f>-'4.  2011-2014 LRAM'!AC392</f>
        <v>-1.5959999999999999</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-8872.0902999999998</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4577.9336059612233</v>
      </c>
      <c r="E61" s="158">
        <f>'4.  2011-2014 LRAM'!Z521</f>
        <v>2256.0398233097021</v>
      </c>
      <c r="F61" s="158">
        <f>'4.  2011-2014 LRAM'!AA521</f>
        <v>170.76840000000001</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7004.7418292709253</v>
      </c>
      <c r="U61" s="154"/>
      <c r="V61" s="155"/>
    </row>
    <row r="62" spans="2:22" s="165" customFormat="1">
      <c r="B62" s="156" t="s">
        <v>39</v>
      </c>
      <c r="C62" s="157"/>
      <c r="D62" s="158">
        <f>-'4.  2011-2014 LRAM'!Y522</f>
        <v>-5831.3393999999998</v>
      </c>
      <c r="E62" s="158">
        <f>-'4.  2011-2014 LRAM'!Z522</f>
        <v>-1447.1536000000001</v>
      </c>
      <c r="F62" s="158">
        <f>-'4.  2011-2014 LRAM'!AA522</f>
        <v>-1240.6583000000001</v>
      </c>
      <c r="G62" s="158">
        <f>-'4.  2011-2014 LRAM'!AB522</f>
        <v>-627.27359999999999</v>
      </c>
      <c r="H62" s="158">
        <f>-'4.  2011-2014 LRAM'!AC522</f>
        <v>-1.6150000000000002</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-9148.0399000000016</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5756.5585146591129</v>
      </c>
      <c r="E64" s="166">
        <f>'5.  2015-2020 LRAM'!Z204</f>
        <v>2272.1545712349666</v>
      </c>
      <c r="F64" s="166">
        <f>'5.  2015-2020 LRAM'!AA204</f>
        <v>202.40567887932002</v>
      </c>
      <c r="G64" s="166">
        <f>'5.  2015-2020 LRAM'!AB204</f>
        <v>12433.523999999999</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20664.642764773402</v>
      </c>
      <c r="U64" s="154"/>
      <c r="V64" s="155"/>
    </row>
    <row r="65" spans="2:22" s="165" customFormat="1">
      <c r="B65" s="156" t="s">
        <v>93</v>
      </c>
      <c r="C65" s="157"/>
      <c r="D65" s="166">
        <f>-'5.  2015-2020 LRAM'!Y205</f>
        <v>-5933.6435999999994</v>
      </c>
      <c r="E65" s="166">
        <f>-'5.  2015-2020 LRAM'!Z205</f>
        <v>-1465.472</v>
      </c>
      <c r="F65" s="166">
        <f>-'5.  2015-2020 LRAM'!AA205</f>
        <v>-1244.5902000000001</v>
      </c>
      <c r="G65" s="166">
        <f>-'5.  2015-2020 LRAM'!AB205</f>
        <v>-654.39599999999996</v>
      </c>
      <c r="H65" s="166">
        <f>-'5.  2015-2020 LRAM'!AC205</f>
        <v>-1.6339999999999999</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-9299.7358000000004</v>
      </c>
      <c r="S65" s="160"/>
      <c r="U65" s="154"/>
      <c r="V65" s="155"/>
    </row>
    <row r="66" spans="2:22" s="138" customFormat="1" hidden="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hidden="1">
      <c r="B67" s="156" t="s">
        <v>226</v>
      </c>
      <c r="C67" s="157"/>
      <c r="D67" s="158">
        <f>'5.  2015-2020 LRAM'!Y388</f>
        <v>4462.8415345675821</v>
      </c>
      <c r="E67" s="158">
        <f>'5.  2015-2020 LRAM'!Z388</f>
        <v>1867.0236064322432</v>
      </c>
      <c r="F67" s="158">
        <f>'5.  2015-2020 LRAM'!AA388</f>
        <v>175.65215985954001</v>
      </c>
      <c r="G67" s="158">
        <f>'5.  2015-2020 LRAM'!AB388</f>
        <v>631.8381599999999</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7137.3554608593658</v>
      </c>
      <c r="U67" s="154"/>
      <c r="V67" s="155"/>
    </row>
    <row r="68" spans="2:22" s="165" customFormat="1" hidden="1">
      <c r="B68" s="156" t="s">
        <v>225</v>
      </c>
      <c r="C68" s="157"/>
      <c r="D68" s="158">
        <f>-'5.  2015-2020 LRAM'!Y389</f>
        <v>-5012.9057999999995</v>
      </c>
      <c r="E68" s="158">
        <f>-'5.  2015-2020 LRAM'!Z389</f>
        <v>-1483.7903999999999</v>
      </c>
      <c r="F68" s="158">
        <f>-'5.  2015-2020 LRAM'!AA389</f>
        <v>-1265.0168999999999</v>
      </c>
      <c r="G68" s="158">
        <f>-'5.  2015-2020 LRAM'!AB389</f>
        <v>-665.09280000000001</v>
      </c>
      <c r="H68" s="158">
        <f>-'5.  2015-2020 LRAM'!AC389</f>
        <v>-1.6529999999999998</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-8428.4588999999996</v>
      </c>
      <c r="S68" s="160"/>
      <c r="U68" s="154"/>
      <c r="V68" s="155"/>
    </row>
    <row r="69" spans="2:22" s="138" customFormat="1" hidden="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2977.3827501959654</v>
      </c>
      <c r="E70" s="158">
        <f>'5.  2015-2020 LRAM'!Z572</f>
        <v>867.70605879775621</v>
      </c>
      <c r="F70" s="158">
        <f>'5.  2015-2020 LRAM'!AA572</f>
        <v>178.5683772054</v>
      </c>
      <c r="G70" s="158">
        <f>'5.  2015-2020 LRAM'!AB572</f>
        <v>642.36263999999994</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4666.0198261991218</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Charges'!I87</f>
        <v>-64.641453578467747</v>
      </c>
      <c r="E82" s="681">
        <f>'6.  Carrying Charges'!J87</f>
        <v>58.273095364498289</v>
      </c>
      <c r="F82" s="681">
        <f>'6.  Carrying Charges'!K87</f>
        <v>-68.750220001236471</v>
      </c>
      <c r="G82" s="681">
        <f>'6.  Carrying Charges'!L87</f>
        <v>28.199853929999996</v>
      </c>
      <c r="H82" s="681">
        <f>'6.  Carrying Charges'!M87</f>
        <v>-9.1750524999999999E-2</v>
      </c>
      <c r="I82" s="681">
        <f>'6.  Carrying Charges'!N102</f>
        <v>0</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-47.010474810205935</v>
      </c>
      <c r="U82" s="154"/>
      <c r="V82" s="155"/>
    </row>
    <row r="83" spans="2:22" s="165" customFormat="1" ht="21.75" customHeight="1">
      <c r="B83" s="625" t="s">
        <v>241</v>
      </c>
      <c r="C83" s="626"/>
      <c r="D83" s="625">
        <f>SUM(D52:D65)+D82</f>
        <v>-3645.3793275422959</v>
      </c>
      <c r="E83" s="625">
        <f>SUM(E52:E65)+E82</f>
        <v>2594.040543553147</v>
      </c>
      <c r="F83" s="625">
        <f>SUM(F52:F65)+F82</f>
        <v>-3483.1466411219167</v>
      </c>
      <c r="G83" s="625">
        <f>SUM(G52:G65)+G82</f>
        <v>10568.947053929998</v>
      </c>
      <c r="H83" s="625">
        <f t="shared" ref="H83:Q83" si="2">SUM(H52:H69)+H82</f>
        <v>-6.5897505250000004</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SUM(R52:R65)+R82</f>
        <v>6029.5248782939343</v>
      </c>
      <c r="U83" s="154"/>
      <c r="V83" s="155"/>
    </row>
    <row r="84" spans="2:22" ht="20.25" customHeight="1">
      <c r="B84" s="455" t="s">
        <v>540</v>
      </c>
      <c r="C84" s="604"/>
      <c r="D84" s="603"/>
      <c r="E84" s="603"/>
      <c r="F84" s="603"/>
      <c r="G84" s="603"/>
      <c r="H84" s="603"/>
      <c r="I84" s="603"/>
      <c r="J84" s="603"/>
      <c r="K84" s="603"/>
      <c r="L84" s="603"/>
      <c r="M84" s="603"/>
      <c r="N84" s="603"/>
      <c r="O84" s="603"/>
      <c r="P84" s="603"/>
      <c r="Q84" s="603"/>
      <c r="R84" s="603"/>
      <c r="V84" s="13"/>
    </row>
    <row r="85" spans="2:22" ht="20.25" customHeight="1">
      <c r="B85" s="622"/>
      <c r="C85" s="68"/>
      <c r="E85" s="9"/>
      <c r="V85" s="13"/>
    </row>
    <row r="86" spans="2:22" ht="14.5">
      <c r="E86" s="9"/>
    </row>
    <row r="87" spans="2:22" ht="21" hidden="1" customHeight="1">
      <c r="B87" s="120" t="s">
        <v>541</v>
      </c>
      <c r="F87" s="591"/>
    </row>
    <row r="88" spans="2:22" s="551" customFormat="1" ht="27.75" hidden="1" customHeight="1">
      <c r="B88" s="572" t="s">
        <v>561</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638.2337</v>
      </c>
      <c r="D91" s="558">
        <f>SUM('4.  2011-2014 LRAM'!Y259:AL259)</f>
        <v>644.55764751418371</v>
      </c>
      <c r="E91" s="558">
        <f>SUM('4.  2011-2014 LRAM'!Y388:AL388)</f>
        <v>661.13601151914736</v>
      </c>
      <c r="F91" s="559">
        <f>SUM('4.  2011-2014 LRAM'!Y517:AL517)</f>
        <v>696.97467192976853</v>
      </c>
      <c r="G91" s="559">
        <f>SUM('5.  2015-2020 LRAM'!Y199:AL199)</f>
        <v>634.14273908499581</v>
      </c>
      <c r="H91" s="558">
        <f>SUM('5.  2015-2020 LRAM'!Y382:AL382)</f>
        <v>406.62616839695738</v>
      </c>
      <c r="I91" s="559">
        <f>SUM('5.  2015-2020 LRAM'!Y565:AL565)</f>
        <v>202.74676251622267</v>
      </c>
      <c r="J91" s="558">
        <f>SUM('5.  2015-2020 LRAM'!Y748:AL748)</f>
        <v>0</v>
      </c>
      <c r="K91" s="558">
        <f>SUM('5.  2015-2020 LRAM'!Y931:AL931)</f>
        <v>0</v>
      </c>
      <c r="L91" s="558">
        <f>SUM('5.  2015-2020 LRAM'!Y1114:AL1114)</f>
        <v>0</v>
      </c>
      <c r="M91" s="558">
        <f>SUM(C91:L91)</f>
        <v>3884.4177009612754</v>
      </c>
      <c r="T91" s="199"/>
      <c r="U91" s="199"/>
    </row>
    <row r="92" spans="2:22" s="92" customFormat="1" ht="23.25" hidden="1" customHeight="1">
      <c r="B92" s="200">
        <v>2012</v>
      </c>
      <c r="C92" s="560"/>
      <c r="D92" s="559">
        <f>SUM('4.  2011-2014 LRAM'!Y260:AL260)</f>
        <v>782.52760000000001</v>
      </c>
      <c r="E92" s="558">
        <f>SUM('4.  2011-2014 LRAM'!Y389:AL389)</f>
        <v>787.7906000264843</v>
      </c>
      <c r="F92" s="559">
        <f>SUM('4.  2011-2014 LRAM'!Y518:AL518)</f>
        <v>801.78042712997535</v>
      </c>
      <c r="G92" s="559">
        <f>SUM('5.  2015-2020 LRAM'!Y200:AL200)</f>
        <v>751.48581718084961</v>
      </c>
      <c r="H92" s="558">
        <f>SUM('5.  2015-2020 LRAM'!Y383:AL383)</f>
        <v>661.29539829136831</v>
      </c>
      <c r="I92" s="559">
        <f>SUM('5.  2015-2020 LRAM'!Y566:AL566)</f>
        <v>223.42536776900494</v>
      </c>
      <c r="J92" s="558">
        <f>SUM('5.  2015-2020 LRAM'!Y749:AL749)</f>
        <v>0</v>
      </c>
      <c r="K92" s="558">
        <f>SUM('5.  2015-2020 LRAM'!Y932:AL932)</f>
        <v>0</v>
      </c>
      <c r="L92" s="558">
        <f>SUM('5.  2015-2020 LRAM'!Y1115:AL1115)</f>
        <v>0</v>
      </c>
      <c r="M92" s="558">
        <f>SUM(D92:L92)</f>
        <v>4008.3052103976825</v>
      </c>
      <c r="T92" s="199"/>
      <c r="U92" s="199"/>
    </row>
    <row r="93" spans="2:22" s="92" customFormat="1" ht="23.25" hidden="1" customHeight="1">
      <c r="B93" s="200">
        <v>2013</v>
      </c>
      <c r="C93" s="561"/>
      <c r="D93" s="561"/>
      <c r="E93" s="559">
        <f>SUM('4.  2011-2014 LRAM'!Y390:AL390)</f>
        <v>2212.7712000000001</v>
      </c>
      <c r="F93" s="559">
        <f>SUM('4.  2011-2014 LRAM'!Y519:AL519)</f>
        <v>2206.5012402111811</v>
      </c>
      <c r="G93" s="559">
        <f>SUM('5.  2015-2020 LRAM'!Y201:AL201)</f>
        <v>2070.2753921421941</v>
      </c>
      <c r="H93" s="558">
        <f>SUM('5.  2015-2020 LRAM'!Y384:AL384)</f>
        <v>1339.587225697845</v>
      </c>
      <c r="I93" s="559">
        <f>SUM('5.  2015-2020 LRAM'!Y567:AL567)</f>
        <v>657.16078938208341</v>
      </c>
      <c r="J93" s="558">
        <f>SUM('5.  2015-2020 LRAM'!Y750:AL750)</f>
        <v>0</v>
      </c>
      <c r="K93" s="558">
        <f>SUM('5.  2015-2020 LRAM'!Y933:AL933)</f>
        <v>0</v>
      </c>
      <c r="L93" s="558">
        <f>SUM('5.  2015-2020 LRAM'!Y1116:AL1116)</f>
        <v>0</v>
      </c>
      <c r="M93" s="558">
        <f>SUM(C93:L93)</f>
        <v>8486.2958474333045</v>
      </c>
      <c r="T93" s="199"/>
      <c r="U93" s="199"/>
    </row>
    <row r="94" spans="2:22" s="92" customFormat="1" ht="23.25" hidden="1" customHeight="1">
      <c r="B94" s="200">
        <v>2014</v>
      </c>
      <c r="C94" s="561"/>
      <c r="D94" s="561"/>
      <c r="E94" s="561"/>
      <c r="F94" s="559">
        <f>SUM('4.  2011-2014 LRAM'!Y520:AL520)</f>
        <v>3299.48549</v>
      </c>
      <c r="G94" s="559">
        <f>SUM('5.  2015-2020 LRAM'!Y202:AL202)</f>
        <v>3162.9104163653601</v>
      </c>
      <c r="H94" s="558">
        <f>SUM('5.  2015-2020 LRAM'!Y385:AL385)</f>
        <v>2585.1537884731947</v>
      </c>
      <c r="I94" s="559">
        <f>SUM('5.  2015-2020 LRAM'!Y568:AL568)</f>
        <v>1893.6722665318105</v>
      </c>
      <c r="J94" s="558">
        <f>SUM('5.  2015-2020 LRAM'!Y751:AL751)</f>
        <v>0</v>
      </c>
      <c r="K94" s="558">
        <f>SUM('5.  2015-2020 LRAM'!Y934:AL934)</f>
        <v>0</v>
      </c>
      <c r="L94" s="558">
        <f>SUM('5.  2015-2020 LRAM'!Y1117:AL1117)</f>
        <v>0</v>
      </c>
      <c r="M94" s="558">
        <f>SUM(F94:L94)</f>
        <v>10941.221961370366</v>
      </c>
      <c r="T94" s="199"/>
      <c r="U94" s="199"/>
    </row>
    <row r="95" spans="2:22" s="92" customFormat="1" ht="23.25" hidden="1" customHeight="1">
      <c r="B95" s="200">
        <v>2015</v>
      </c>
      <c r="C95" s="561"/>
      <c r="D95" s="561"/>
      <c r="E95" s="561"/>
      <c r="F95" s="561"/>
      <c r="G95" s="559">
        <f>SUM('5.  2015-2020 LRAM'!Y203:AL203)</f>
        <v>14045.828399999999</v>
      </c>
      <c r="H95" s="558">
        <f>SUM('5.  2015-2020 LRAM'!Y386:AL386)</f>
        <v>2144.6928800000001</v>
      </c>
      <c r="I95" s="559">
        <f>SUM('5.  2015-2020 LRAM'!Y569:AL569)</f>
        <v>1689.0146400000003</v>
      </c>
      <c r="J95" s="558">
        <f>SUM('5.  2015-2020 LRAM'!Y752:AL752)</f>
        <v>0</v>
      </c>
      <c r="K95" s="558">
        <f>SUM('5.  2015-2020 LRAM'!Y935:AL935)</f>
        <v>0</v>
      </c>
      <c r="L95" s="558">
        <f>SUM('5.  2015-2020 LRAM'!Y1118:AL1118)</f>
        <v>0</v>
      </c>
      <c r="M95" s="558">
        <f>SUM(G95:L95)</f>
        <v>17879.535919999998</v>
      </c>
      <c r="T95" s="199"/>
      <c r="U95" s="199"/>
    </row>
    <row r="96" spans="2:22" s="92" customFormat="1" ht="23.25" hidden="1" customHeight="1">
      <c r="B96" s="200">
        <v>2016</v>
      </c>
      <c r="C96" s="561"/>
      <c r="D96" s="561"/>
      <c r="E96" s="561"/>
      <c r="F96" s="561"/>
      <c r="G96" s="561"/>
      <c r="H96" s="558">
        <f>SUM('5.  2015-2020 LRAM'!Y387:AL387)</f>
        <v>0</v>
      </c>
      <c r="I96" s="559">
        <f>SUM('5.  2015-2020 LRAM'!Y570:AL570)</f>
        <v>0</v>
      </c>
      <c r="J96" s="558">
        <f>SUM('5.  2015-2020 LRAM'!Y753:AL753)</f>
        <v>0</v>
      </c>
      <c r="K96" s="558">
        <f>SUM('5.  2015-2020 LRAM'!Y936:AL936)</f>
        <v>0</v>
      </c>
      <c r="L96" s="558">
        <f>SUM('5.  2015-2020 LRAM'!Y1119:AL1119)</f>
        <v>0</v>
      </c>
      <c r="M96" s="558">
        <f>SUM(H96:L96)</f>
        <v>0</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523</v>
      </c>
      <c r="C101" s="557">
        <f>C91</f>
        <v>638.2337</v>
      </c>
      <c r="D101" s="558">
        <f>D91+D92</f>
        <v>1427.0852475141837</v>
      </c>
      <c r="E101" s="558">
        <f>E91+E92+E93</f>
        <v>3661.6978115456318</v>
      </c>
      <c r="F101" s="558">
        <f>F91+F92+F93+F94</f>
        <v>7004.7418292709244</v>
      </c>
      <c r="G101" s="558">
        <f>G91+G92+G93+G94+G95</f>
        <v>20664.642764773398</v>
      </c>
      <c r="H101" s="558">
        <f>H91+H92+H93+H94+H95+H96</f>
        <v>7137.3554608593658</v>
      </c>
      <c r="I101" s="558">
        <f>I91+I92+I93+I94+I95+I96+I97</f>
        <v>4666.0198261991218</v>
      </c>
      <c r="J101" s="558">
        <f>J91+J92+J93+J94+J95+J96+J97+J98</f>
        <v>0</v>
      </c>
      <c r="K101" s="558">
        <f>K91+K92+K93+K94+K95+K96+K97+K98+K99</f>
        <v>0</v>
      </c>
      <c r="L101" s="558">
        <f>SUM(L91:L100)</f>
        <v>0</v>
      </c>
      <c r="M101" s="558">
        <f>SUM(M91:M100)</f>
        <v>45199.776640162629</v>
      </c>
      <c r="T101" s="201"/>
      <c r="U101" s="201"/>
    </row>
    <row r="102" spans="2:21" s="27" customFormat="1" ht="24.75" hidden="1" customHeight="1">
      <c r="B102" s="574" t="s">
        <v>522</v>
      </c>
      <c r="C102" s="556">
        <f>'4.  2011-2014 LRAM'!AM132</f>
        <v>0</v>
      </c>
      <c r="D102" s="556">
        <f>'4.  2011-2014 LRAM'!AM262</f>
        <v>0</v>
      </c>
      <c r="E102" s="556">
        <f>'4.  2011-2014 LRAM'!AM392</f>
        <v>8872.0902999999998</v>
      </c>
      <c r="F102" s="556">
        <f>'4.  2011-2014 LRAM'!AM522</f>
        <v>9148.0399000000016</v>
      </c>
      <c r="G102" s="556">
        <f>'5.  2015-2020 LRAM'!AM205</f>
        <v>9299.7358000000004</v>
      </c>
      <c r="H102" s="556">
        <f>'5.  2015-2020 LRAM'!AM389</f>
        <v>8428.4588999999996</v>
      </c>
      <c r="I102" s="556">
        <f>'5.  2015-2020 LRAM'!AM573</f>
        <v>0</v>
      </c>
      <c r="J102" s="556">
        <f>'5.  2015-2020 LRAM'!AM757</f>
        <v>0</v>
      </c>
      <c r="K102" s="556">
        <f>'5.  2015-2020 LRAM'!AM941</f>
        <v>0</v>
      </c>
      <c r="L102" s="556">
        <f>'5.  2015-2020 LRAM'!AM1125</f>
        <v>0</v>
      </c>
      <c r="M102" s="558">
        <f>SUM(C102:L102)</f>
        <v>35748.3249</v>
      </c>
      <c r="T102" s="91"/>
      <c r="U102" s="91"/>
    </row>
    <row r="103" spans="2:21" ht="24.75" hidden="1" customHeight="1">
      <c r="B103" s="574" t="s">
        <v>43</v>
      </c>
      <c r="C103" s="556">
        <f>'6.  Carrying Charges'!W27</f>
        <v>4.30009955375</v>
      </c>
      <c r="D103" s="556">
        <f>'6.  Carrying Charges'!W42</f>
        <v>23.297121798876812</v>
      </c>
      <c r="E103" s="556">
        <f>'6.  Carrying Charges'!W57</f>
        <v>18.552290936374007</v>
      </c>
      <c r="F103" s="556">
        <f>'6.  Carrying Charges'!W72</f>
        <v>-42.120760866983851</v>
      </c>
      <c r="G103" s="556">
        <f>'6.  Carrying Charges'!W87</f>
        <v>-47.010474810205928</v>
      </c>
      <c r="H103" s="556">
        <f>'6.  Carrying Charges'!W102</f>
        <v>13.322100901605559</v>
      </c>
      <c r="I103" s="556">
        <f>'6.  Carrying Charges'!W117</f>
        <v>65.633468713852054</v>
      </c>
      <c r="J103" s="556">
        <f>'6.  Carrying Charges'!W132</f>
        <v>65.633468713852054</v>
      </c>
      <c r="K103" s="556">
        <f>'6.  Carrying Charges'!W147</f>
        <v>65.633468713852054</v>
      </c>
      <c r="L103" s="556">
        <f>'6.  Carrying Charges'!W162</f>
        <v>65.633468713852054</v>
      </c>
      <c r="M103" s="558">
        <f>SUM(C103:L103)</f>
        <v>232.87425236882478</v>
      </c>
    </row>
    <row r="104" spans="2:21" ht="23.25" hidden="1" customHeight="1">
      <c r="B104" s="573" t="s">
        <v>26</v>
      </c>
      <c r="C104" s="556">
        <f>C101-C102+C103</f>
        <v>642.53379955374999</v>
      </c>
      <c r="D104" s="556">
        <f t="shared" ref="D104:J104" si="3">D101-D102+D103</f>
        <v>1450.3823693130605</v>
      </c>
      <c r="E104" s="556">
        <f t="shared" si="3"/>
        <v>-5191.8401975179941</v>
      </c>
      <c r="F104" s="556">
        <f t="shared" si="3"/>
        <v>-2185.418831596061</v>
      </c>
      <c r="G104" s="556">
        <f t="shared" si="3"/>
        <v>11317.896489963192</v>
      </c>
      <c r="H104" s="556">
        <f t="shared" si="3"/>
        <v>-1277.7813382390282</v>
      </c>
      <c r="I104" s="556">
        <f t="shared" si="3"/>
        <v>4731.6532949129742</v>
      </c>
      <c r="J104" s="556">
        <f t="shared" si="3"/>
        <v>65.633468713852054</v>
      </c>
      <c r="K104" s="556">
        <f>K101-K102+K103</f>
        <v>65.633468713852054</v>
      </c>
      <c r="L104" s="556">
        <f>L101-L102+L103</f>
        <v>65.633468713852054</v>
      </c>
      <c r="M104" s="556">
        <f>M101-M102+M103</f>
        <v>9684.3259925314542</v>
      </c>
    </row>
    <row r="105" spans="2:21" hidden="1"/>
    <row r="106" spans="2:21">
      <c r="B106" s="591" t="s">
        <v>530</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43"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51</xdr:row>
                    <xdr:rowOff>19050</xdr:rowOff>
                  </from>
                  <to>
                    <xdr:col>2</xdr:col>
                    <xdr:colOff>1384300</xdr:colOff>
                    <xdr:row>52</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54</xdr:row>
                    <xdr:rowOff>19050</xdr:rowOff>
                  </from>
                  <to>
                    <xdr:col>2</xdr:col>
                    <xdr:colOff>1384300</xdr:colOff>
                    <xdr:row>55</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57</xdr:row>
                    <xdr:rowOff>19050</xdr:rowOff>
                  </from>
                  <to>
                    <xdr:col>2</xdr:col>
                    <xdr:colOff>1384300</xdr:colOff>
                    <xdr:row>58</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60</xdr:row>
                    <xdr:rowOff>19050</xdr:rowOff>
                  </from>
                  <to>
                    <xdr:col>2</xdr:col>
                    <xdr:colOff>1384300</xdr:colOff>
                    <xdr:row>61</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63</xdr:row>
                    <xdr:rowOff>19050</xdr:rowOff>
                  </from>
                  <to>
                    <xdr:col>2</xdr:col>
                    <xdr:colOff>1384300</xdr:colOff>
                    <xdr:row>64</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4" zoomScale="90" zoomScaleNormal="90" workbookViewId="0">
      <selection activeCell="E27" sqref="E27:F27"/>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9" t="s">
        <v>172</v>
      </c>
      <c r="C14" s="128" t="s">
        <v>176</v>
      </c>
    </row>
    <row r="15" spans="2:3" ht="26.25" customHeight="1" thickBot="1">
      <c r="C15" s="130" t="s">
        <v>408</v>
      </c>
    </row>
    <row r="16" spans="2:3" ht="27" customHeight="1" thickBot="1">
      <c r="C16" s="571" t="s">
        <v>555</v>
      </c>
    </row>
    <row r="19" spans="2:8" ht="15.5">
      <c r="B19" s="539" t="s">
        <v>626</v>
      </c>
    </row>
    <row r="20" spans="2:8" ht="13.5" customHeight="1"/>
    <row r="21" spans="2:8" ht="57.75" customHeight="1">
      <c r="B21" s="775" t="s">
        <v>643</v>
      </c>
      <c r="C21" s="775"/>
      <c r="D21" s="775"/>
      <c r="E21" s="775"/>
      <c r="F21" s="775"/>
      <c r="G21" s="775"/>
      <c r="H21" s="775"/>
    </row>
    <row r="23" spans="2:8" s="611" customFormat="1" ht="15.5">
      <c r="B23" s="621" t="s">
        <v>550</v>
      </c>
      <c r="C23" s="621" t="s">
        <v>565</v>
      </c>
      <c r="D23" s="621" t="s">
        <v>549</v>
      </c>
      <c r="E23" s="782" t="s">
        <v>34</v>
      </c>
      <c r="F23" s="783"/>
      <c r="G23" s="782" t="s">
        <v>548</v>
      </c>
      <c r="H23" s="783"/>
    </row>
    <row r="24" spans="2:8">
      <c r="B24" s="610">
        <v>1</v>
      </c>
      <c r="C24" s="646" t="s">
        <v>171</v>
      </c>
      <c r="D24" s="609" t="s">
        <v>714</v>
      </c>
      <c r="E24" s="780" t="s">
        <v>715</v>
      </c>
      <c r="F24" s="781"/>
      <c r="G24" s="784" t="s">
        <v>716</v>
      </c>
      <c r="H24" s="785"/>
    </row>
    <row r="25" spans="2:8">
      <c r="B25" s="610">
        <v>2</v>
      </c>
      <c r="C25" s="646" t="s">
        <v>171</v>
      </c>
      <c r="D25" s="609" t="s">
        <v>717</v>
      </c>
      <c r="E25" s="780" t="s">
        <v>715</v>
      </c>
      <c r="F25" s="781"/>
      <c r="G25" s="784" t="s">
        <v>716</v>
      </c>
      <c r="H25" s="785"/>
    </row>
    <row r="26" spans="2:8" ht="15" customHeight="1">
      <c r="B26" s="610">
        <v>3</v>
      </c>
      <c r="C26" s="646" t="s">
        <v>171</v>
      </c>
      <c r="D26" s="609" t="s">
        <v>718</v>
      </c>
      <c r="E26" s="780" t="s">
        <v>715</v>
      </c>
      <c r="F26" s="781"/>
      <c r="G26" s="784" t="s">
        <v>716</v>
      </c>
      <c r="H26" s="785"/>
    </row>
    <row r="27" spans="2:8">
      <c r="B27" s="610">
        <v>4</v>
      </c>
      <c r="C27" s="646" t="s">
        <v>171</v>
      </c>
      <c r="D27" s="609" t="s">
        <v>719</v>
      </c>
      <c r="E27" s="780" t="s">
        <v>715</v>
      </c>
      <c r="F27" s="781"/>
      <c r="G27" s="784" t="s">
        <v>716</v>
      </c>
      <c r="H27" s="785"/>
    </row>
    <row r="28" spans="2:8">
      <c r="B28" s="610">
        <v>5</v>
      </c>
      <c r="C28" s="646"/>
      <c r="D28" s="609"/>
      <c r="E28" s="780"/>
      <c r="F28" s="781"/>
      <c r="G28" s="784"/>
      <c r="H28" s="785"/>
    </row>
    <row r="29" spans="2:8">
      <c r="B29" s="610">
        <v>6</v>
      </c>
      <c r="C29" s="646"/>
      <c r="D29" s="609"/>
      <c r="E29" s="780"/>
      <c r="F29" s="781"/>
      <c r="G29" s="784"/>
      <c r="H29" s="785"/>
    </row>
    <row r="30" spans="2:8">
      <c r="B30" s="610">
        <v>7</v>
      </c>
      <c r="C30" s="646"/>
      <c r="D30" s="609"/>
      <c r="E30" s="780"/>
      <c r="F30" s="781"/>
      <c r="G30" s="784"/>
      <c r="H30" s="785"/>
    </row>
    <row r="31" spans="2:8">
      <c r="B31" s="610">
        <v>8</v>
      </c>
      <c r="C31" s="646"/>
      <c r="D31" s="609"/>
      <c r="E31" s="780"/>
      <c r="F31" s="781"/>
      <c r="G31" s="784"/>
      <c r="H31" s="785"/>
    </row>
    <row r="32" spans="2:8">
      <c r="B32" s="610">
        <v>9</v>
      </c>
      <c r="C32" s="646"/>
      <c r="D32" s="609"/>
      <c r="E32" s="780"/>
      <c r="F32" s="781"/>
      <c r="G32" s="784"/>
      <c r="H32" s="785"/>
    </row>
    <row r="33" spans="2:8">
      <c r="B33" s="610">
        <v>10</v>
      </c>
      <c r="C33" s="646"/>
      <c r="D33" s="609"/>
      <c r="E33" s="780"/>
      <c r="F33" s="781"/>
      <c r="G33" s="784"/>
      <c r="H33" s="785"/>
    </row>
    <row r="34" spans="2:8">
      <c r="B34" s="610" t="s">
        <v>482</v>
      </c>
      <c r="C34" s="646"/>
      <c r="D34" s="609"/>
      <c r="E34" s="780"/>
      <c r="F34" s="781"/>
      <c r="G34" s="784"/>
      <c r="H34" s="785"/>
    </row>
    <row r="36" spans="2:8" ht="30.75" customHeight="1">
      <c r="B36" s="539" t="s">
        <v>621</v>
      </c>
    </row>
    <row r="37" spans="2:8" ht="23.25" customHeight="1">
      <c r="B37" s="570" t="s">
        <v>627</v>
      </c>
      <c r="C37" s="607"/>
      <c r="D37" s="607"/>
      <c r="E37" s="607"/>
      <c r="F37" s="607"/>
      <c r="G37" s="607"/>
      <c r="H37" s="607"/>
    </row>
    <row r="39" spans="2:8" s="92" customFormat="1" ht="15.5">
      <c r="B39" s="621" t="s">
        <v>550</v>
      </c>
      <c r="C39" s="621" t="s">
        <v>565</v>
      </c>
      <c r="D39" s="621" t="s">
        <v>549</v>
      </c>
      <c r="E39" s="782" t="s">
        <v>34</v>
      </c>
      <c r="F39" s="783"/>
      <c r="G39" s="782" t="s">
        <v>548</v>
      </c>
      <c r="H39" s="783"/>
    </row>
    <row r="40" spans="2:8">
      <c r="B40" s="610">
        <v>1</v>
      </c>
      <c r="C40" s="646"/>
      <c r="D40" s="609"/>
      <c r="E40" s="780"/>
      <c r="F40" s="781"/>
      <c r="G40" s="784"/>
      <c r="H40" s="785"/>
    </row>
    <row r="41" spans="2:8">
      <c r="B41" s="610">
        <v>2</v>
      </c>
      <c r="C41" s="646"/>
      <c r="D41" s="609"/>
      <c r="E41" s="780"/>
      <c r="F41" s="781"/>
      <c r="G41" s="784"/>
      <c r="H41" s="785"/>
    </row>
    <row r="42" spans="2:8">
      <c r="B42" s="610">
        <v>3</v>
      </c>
      <c r="C42" s="646"/>
      <c r="D42" s="609"/>
      <c r="E42" s="780"/>
      <c r="F42" s="781"/>
      <c r="G42" s="784"/>
      <c r="H42" s="785"/>
    </row>
    <row r="43" spans="2:8">
      <c r="B43" s="610">
        <v>4</v>
      </c>
      <c r="C43" s="646"/>
      <c r="D43" s="609"/>
      <c r="E43" s="780"/>
      <c r="F43" s="781"/>
      <c r="G43" s="784"/>
      <c r="H43" s="785"/>
    </row>
    <row r="44" spans="2:8">
      <c r="B44" s="610">
        <v>5</v>
      </c>
      <c r="C44" s="646"/>
      <c r="D44" s="609"/>
      <c r="E44" s="780"/>
      <c r="F44" s="781"/>
      <c r="G44" s="784"/>
      <c r="H44" s="785"/>
    </row>
    <row r="45" spans="2:8">
      <c r="B45" s="610">
        <v>6</v>
      </c>
      <c r="C45" s="646"/>
      <c r="D45" s="609"/>
      <c r="E45" s="780"/>
      <c r="F45" s="781"/>
      <c r="G45" s="784"/>
      <c r="H45" s="785"/>
    </row>
    <row r="46" spans="2:8">
      <c r="B46" s="610">
        <v>7</v>
      </c>
      <c r="C46" s="646"/>
      <c r="D46" s="609"/>
      <c r="E46" s="780"/>
      <c r="F46" s="781"/>
      <c r="G46" s="784"/>
      <c r="H46" s="785"/>
    </row>
    <row r="47" spans="2:8">
      <c r="B47" s="610">
        <v>8</v>
      </c>
      <c r="C47" s="646"/>
      <c r="D47" s="609"/>
      <c r="E47" s="780"/>
      <c r="F47" s="781"/>
      <c r="G47" s="784"/>
      <c r="H47" s="785"/>
    </row>
    <row r="48" spans="2:8">
      <c r="B48" s="610">
        <v>9</v>
      </c>
      <c r="C48" s="646"/>
      <c r="D48" s="609"/>
      <c r="E48" s="780"/>
      <c r="F48" s="781"/>
      <c r="G48" s="784"/>
      <c r="H48" s="785"/>
    </row>
    <row r="49" spans="2:8">
      <c r="B49" s="610">
        <v>10</v>
      </c>
      <c r="C49" s="646"/>
      <c r="D49" s="609"/>
      <c r="E49" s="780"/>
      <c r="F49" s="781"/>
      <c r="G49" s="784"/>
      <c r="H49" s="785"/>
    </row>
    <row r="50" spans="2:8">
      <c r="B50" s="610" t="s">
        <v>482</v>
      </c>
      <c r="C50" s="646"/>
      <c r="D50" s="609"/>
      <c r="E50" s="780"/>
      <c r="F50" s="781"/>
      <c r="G50" s="784"/>
      <c r="H50" s="78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7" zoomScale="90" zoomScaleNormal="90" workbookViewId="0">
      <selection activeCell="C16" sqref="C16"/>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555</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786" t="s">
        <v>567</v>
      </c>
      <c r="C11" s="786"/>
      <c r="D11" s="786"/>
      <c r="E11" s="786"/>
      <c r="F11" s="786"/>
      <c r="G11" s="786"/>
      <c r="H11" s="786"/>
      <c r="I11" s="786"/>
      <c r="J11" s="786"/>
      <c r="K11" s="786"/>
      <c r="L11" s="786"/>
      <c r="M11" s="786"/>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&gt; 50 to 4,999 Kw</v>
      </c>
      <c r="G13" s="245" t="str">
        <f>'1.  LRAMVA Summary'!G50</f>
        <v>Street Lighting</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kWh</v>
      </c>
      <c r="I14" s="581">
        <f>'1.  LRAMVA Summary'!I51</f>
        <v>0</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1086258</v>
      </c>
      <c r="D15" s="453">
        <v>511521</v>
      </c>
      <c r="E15" s="453">
        <v>183184</v>
      </c>
      <c r="F15" s="453">
        <v>383441</v>
      </c>
      <c r="G15" s="453">
        <v>7922</v>
      </c>
      <c r="H15" s="453">
        <v>190</v>
      </c>
      <c r="I15" s="453"/>
      <c r="J15" s="453"/>
      <c r="K15" s="453"/>
      <c r="L15" s="453"/>
      <c r="M15" s="453"/>
      <c r="N15" s="453"/>
      <c r="O15" s="453"/>
      <c r="P15" s="454"/>
      <c r="Q15" s="454"/>
    </row>
    <row r="16" spans="2:17" s="458" customFormat="1" ht="15.75" customHeight="1">
      <c r="B16" s="463" t="s">
        <v>28</v>
      </c>
      <c r="C16" s="628">
        <f>SUM(D16:Q16)</f>
        <v>983</v>
      </c>
      <c r="D16" s="452"/>
      <c r="E16" s="452"/>
      <c r="F16" s="452">
        <v>959</v>
      </c>
      <c r="G16" s="452">
        <v>24</v>
      </c>
      <c r="H16" s="452"/>
      <c r="I16" s="452"/>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511521</v>
      </c>
      <c r="E18" s="194">
        <f t="shared" si="0"/>
        <v>183184</v>
      </c>
      <c r="F18" s="194">
        <f>IF(F14="kw",HLOOKUP(F14,F14:F16,3,FALSE),HLOOKUP(F14,F14:F16,2,FALSE))</f>
        <v>959</v>
      </c>
      <c r="G18" s="194">
        <f t="shared" ref="G18:Q18" si="1">IF(G14="kw",HLOOKUP(G14,G14:G16,3,FALSE),HLOOKUP(G14,G14:G16,2,FALSE))</f>
        <v>24</v>
      </c>
      <c r="H18" s="194">
        <f t="shared" si="1"/>
        <v>190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507</v>
      </c>
      <c r="D20" s="456"/>
    </row>
    <row r="21" spans="2:17" s="440" customFormat="1" ht="21" customHeight="1">
      <c r="B21" s="462" t="s">
        <v>368</v>
      </c>
      <c r="C21" s="455" t="s">
        <v>712</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786" t="s">
        <v>566</v>
      </c>
      <c r="C26" s="786"/>
      <c r="D26" s="786"/>
      <c r="E26" s="786"/>
      <c r="F26" s="786"/>
      <c r="G26" s="786"/>
      <c r="H26" s="786"/>
      <c r="I26" s="786"/>
      <c r="J26" s="786"/>
      <c r="K26" s="786"/>
      <c r="L26" s="786"/>
      <c r="M26" s="786"/>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&gt; 50 to 4,999 Kw</v>
      </c>
      <c r="G28" s="245" t="str">
        <f>'1.  LRAMVA Summary'!G50</f>
        <v>Street Lighting</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kWh</v>
      </c>
      <c r="I29" s="581">
        <f>'1.  LRAMVA Summary'!I51</f>
        <v>0</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t="s">
        <v>507</v>
      </c>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5">
      <c r="B39" s="120" t="s">
        <v>455</v>
      </c>
      <c r="C39" s="35"/>
      <c r="D39" s="34"/>
      <c r="E39" s="39"/>
      <c r="F39" s="40"/>
    </row>
    <row r="40" spans="2:32" s="72" customFormat="1" ht="39" customHeight="1">
      <c r="B40" s="786" t="s">
        <v>619</v>
      </c>
      <c r="C40" s="786"/>
      <c r="D40" s="786"/>
      <c r="E40" s="786"/>
      <c r="F40" s="786"/>
      <c r="G40" s="786"/>
      <c r="H40" s="786"/>
      <c r="I40" s="786"/>
      <c r="J40" s="786"/>
      <c r="K40" s="786"/>
      <c r="L40" s="786"/>
      <c r="M40" s="786"/>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616</v>
      </c>
      <c r="D42" s="245" t="str">
        <f>'1.  LRAMVA Summary'!D50</f>
        <v>Residential</v>
      </c>
      <c r="E42" s="245" t="str">
        <f>'1.  LRAMVA Summary'!E50</f>
        <v>GS&lt;50 kW</v>
      </c>
      <c r="F42" s="245" t="str">
        <f>'1.  LRAMVA Summary'!F50</f>
        <v>GS &gt; 50 to 4,999 Kw</v>
      </c>
      <c r="G42" s="245" t="str">
        <f>'1.  LRAMVA Summary'!G50</f>
        <v>Street Lighting</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kWh</v>
      </c>
      <c r="I43" s="585">
        <f>'1.  LRAMVA Summary'!I51</f>
        <v>0</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5">
      <c r="B44" s="172">
        <v>2011</v>
      </c>
      <c r="C44" s="536">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5">
      <c r="B45" s="172">
        <v>2012</v>
      </c>
      <c r="C45" s="536">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5">
      <c r="B46" s="173">
        <v>2013</v>
      </c>
      <c r="C46" s="536">
        <v>2013</v>
      </c>
      <c r="D46" s="192">
        <f t="shared" ref="D46:Q46" si="5">IF(ISBLANK($C$46),0,IF($C$46=$D$9,HLOOKUP(D43,D14:D18,5,FALSE),HLOOKUP(D43,D29:D33,5,FALSE)))</f>
        <v>511521</v>
      </c>
      <c r="E46" s="192">
        <f t="shared" si="5"/>
        <v>183184</v>
      </c>
      <c r="F46" s="192">
        <f t="shared" si="5"/>
        <v>959</v>
      </c>
      <c r="G46" s="192">
        <f t="shared" si="5"/>
        <v>24</v>
      </c>
      <c r="H46" s="192">
        <f t="shared" si="5"/>
        <v>190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5">
      <c r="B47" s="173">
        <v>2014</v>
      </c>
      <c r="C47" s="536">
        <v>2013</v>
      </c>
      <c r="D47" s="192">
        <f t="shared" ref="D47:Q47" si="6">IF(ISBLANK($C$47),0,IF($C$47=$D$9,HLOOKUP(D43,D14:D18,5,FALSE),HLOOKUP(D43,D29:D33,5,FALSE)))</f>
        <v>511521</v>
      </c>
      <c r="E47" s="192">
        <f t="shared" si="6"/>
        <v>183184</v>
      </c>
      <c r="F47" s="192">
        <f t="shared" si="6"/>
        <v>959</v>
      </c>
      <c r="G47" s="192">
        <f t="shared" si="6"/>
        <v>24</v>
      </c>
      <c r="H47" s="192">
        <f t="shared" si="6"/>
        <v>190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5">
      <c r="B48" s="173">
        <v>2015</v>
      </c>
      <c r="C48" s="536">
        <v>2013</v>
      </c>
      <c r="D48" s="192">
        <f t="shared" ref="D48:Q48" si="7">IF(ISBLANK($C$48),0,IF($C$48=$D$9,HLOOKUP(D43,D14:D18,5,FALSE),HLOOKUP(D43,D29:D33,5,FALSE)))</f>
        <v>511521</v>
      </c>
      <c r="E48" s="192">
        <f t="shared" si="7"/>
        <v>183184</v>
      </c>
      <c r="F48" s="192">
        <f t="shared" si="7"/>
        <v>959</v>
      </c>
      <c r="G48" s="192">
        <f t="shared" si="7"/>
        <v>24</v>
      </c>
      <c r="H48" s="192">
        <f t="shared" si="7"/>
        <v>190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5">
      <c r="B49" s="173">
        <v>2016</v>
      </c>
      <c r="C49" s="536">
        <v>2013</v>
      </c>
      <c r="D49" s="192">
        <f t="shared" ref="D49:Q49" si="8">IF(ISBLANK($C$49),0,IF($C$49=$D$9,HLOOKUP(D43,D14:D18,5,FALSE),HLOOKUP(D43,D29:D33,5,FALSE)))</f>
        <v>511521</v>
      </c>
      <c r="E49" s="192">
        <f t="shared" si="8"/>
        <v>183184</v>
      </c>
      <c r="F49" s="192">
        <f t="shared" si="8"/>
        <v>959</v>
      </c>
      <c r="G49" s="192">
        <f t="shared" si="8"/>
        <v>24</v>
      </c>
      <c r="H49" s="192">
        <f t="shared" si="8"/>
        <v>190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540</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22" activePane="bottomLeft" state="frozen"/>
      <selection pane="bottomLeft" activeCell="L46" sqref="L46"/>
    </sheetView>
  </sheetViews>
  <sheetFormatPr defaultColWidth="9.1796875" defaultRowHeight="14.5" outlineLevelRow="1"/>
  <cols>
    <col min="1" max="1" width="6.54296875" style="4" customWidth="1"/>
    <col min="2" max="2" width="36.54296875" style="5" customWidth="1"/>
    <col min="3" max="3" width="16.81640625" style="80"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87" t="s">
        <v>172</v>
      </c>
      <c r="C4" s="87" t="s">
        <v>176</v>
      </c>
      <c r="D4" s="87"/>
      <c r="E4" s="50"/>
    </row>
    <row r="5" spans="1:26" s="18" customFormat="1" ht="26.25" hidden="1" customHeight="1" outlineLevel="1" thickBot="1">
      <c r="A5" s="4"/>
      <c r="B5" s="787"/>
      <c r="C5" s="88" t="s">
        <v>173</v>
      </c>
      <c r="D5" s="88"/>
      <c r="E5" s="50"/>
    </row>
    <row r="6" spans="1:26" ht="26.25" hidden="1" customHeight="1" outlineLevel="1" thickBot="1">
      <c r="B6" s="787"/>
      <c r="C6" s="793" t="s">
        <v>555</v>
      </c>
      <c r="D6" s="794"/>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531</v>
      </c>
      <c r="C8" s="596" t="s">
        <v>484</v>
      </c>
      <c r="D8" s="595"/>
      <c r="M8" s="6"/>
      <c r="N8" s="6"/>
      <c r="O8" s="6"/>
      <c r="P8" s="6"/>
      <c r="Q8" s="6"/>
      <c r="R8" s="6"/>
      <c r="S8" s="6"/>
      <c r="T8" s="6"/>
      <c r="U8" s="6"/>
      <c r="V8" s="6"/>
      <c r="W8" s="6"/>
      <c r="X8" s="6"/>
      <c r="Y8" s="6"/>
      <c r="Z8" s="6"/>
    </row>
    <row r="9" spans="1:26" s="18" customFormat="1" ht="19.5" hidden="1" customHeight="1" outlineLevel="1">
      <c r="A9" s="4"/>
      <c r="B9" s="542"/>
      <c r="C9" s="596" t="s">
        <v>532</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4"/>
    </row>
    <row r="12" spans="1:26" ht="58.5" customHeight="1">
      <c r="B12" s="795" t="s">
        <v>628</v>
      </c>
      <c r="C12" s="795"/>
      <c r="D12" s="795"/>
      <c r="E12" s="795"/>
      <c r="F12" s="795"/>
      <c r="G12" s="795"/>
      <c r="H12" s="795"/>
      <c r="I12" s="795"/>
      <c r="J12" s="795"/>
      <c r="K12" s="795"/>
      <c r="L12" s="795"/>
      <c r="M12" s="795"/>
      <c r="N12" s="795"/>
      <c r="O12" s="79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688</v>
      </c>
      <c r="E14" s="474" t="s">
        <v>689</v>
      </c>
      <c r="F14" s="474" t="s">
        <v>690</v>
      </c>
      <c r="G14" s="474" t="s">
        <v>691</v>
      </c>
      <c r="H14" s="474" t="s">
        <v>692</v>
      </c>
      <c r="I14" s="474" t="s">
        <v>693</v>
      </c>
      <c r="J14" s="474" t="s">
        <v>694</v>
      </c>
      <c r="K14" s="474" t="s">
        <v>695</v>
      </c>
      <c r="L14" s="474" t="s">
        <v>572</v>
      </c>
      <c r="M14" s="474" t="s">
        <v>573</v>
      </c>
      <c r="N14" s="474" t="s">
        <v>574</v>
      </c>
      <c r="O14" s="474" t="s">
        <v>575</v>
      </c>
      <c r="P14" s="7"/>
    </row>
    <row r="15" spans="1:26" s="7" customFormat="1" ht="18.75" customHeight="1">
      <c r="B15" s="475" t="s">
        <v>189</v>
      </c>
      <c r="C15" s="78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563</v>
      </c>
      <c r="C16" s="789"/>
      <c r="D16" s="479">
        <v>4</v>
      </c>
      <c r="E16" s="479">
        <v>4</v>
      </c>
      <c r="F16" s="479">
        <v>4</v>
      </c>
      <c r="G16" s="479">
        <v>8</v>
      </c>
      <c r="H16" s="479">
        <v>4</v>
      </c>
      <c r="I16" s="479">
        <v>4</v>
      </c>
      <c r="J16" s="479">
        <v>4</v>
      </c>
      <c r="K16" s="479">
        <v>4</v>
      </c>
      <c r="L16" s="479"/>
      <c r="M16" s="479"/>
      <c r="N16" s="479"/>
      <c r="O16" s="480"/>
    </row>
    <row r="17" spans="1:15" s="113" customFormat="1" ht="17.25" customHeight="1">
      <c r="B17" s="481" t="s">
        <v>564</v>
      </c>
      <c r="C17" s="790"/>
      <c r="D17" s="114">
        <f>12-D16</f>
        <v>8</v>
      </c>
      <c r="E17" s="114">
        <f>12-E16</f>
        <v>8</v>
      </c>
      <c r="F17" s="114">
        <f t="shared" ref="F17:K17" si="0">12-F16</f>
        <v>8</v>
      </c>
      <c r="G17" s="114">
        <f t="shared" si="0"/>
        <v>4</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2" t="str">
        <f>'1.  LRAMVA Summary'!B27</f>
        <v>Residential</v>
      </c>
      <c r="C18" s="791" t="str">
        <f>'2. LRAMVA Threshold'!D43</f>
        <v>kWh</v>
      </c>
      <c r="D18" s="47">
        <v>1.03E-2</v>
      </c>
      <c r="E18" s="47">
        <v>1.03E-2</v>
      </c>
      <c r="F18" s="47">
        <v>1.04E-2</v>
      </c>
      <c r="G18" s="47">
        <v>1.1299999999999999E-2</v>
      </c>
      <c r="H18" s="47">
        <v>1.15E-2</v>
      </c>
      <c r="I18" s="47">
        <v>1.1599999999999999E-2</v>
      </c>
      <c r="J18" s="47">
        <v>8.8999999999999999E-3</v>
      </c>
      <c r="K18" s="47">
        <v>6.0000000000000001E-3</v>
      </c>
      <c r="L18" s="47"/>
      <c r="M18" s="47"/>
      <c r="N18" s="47"/>
      <c r="O18" s="71"/>
    </row>
    <row r="19" spans="1:15" s="7" customFormat="1" ht="15" hidden="1" customHeight="1" outlineLevel="1">
      <c r="B19" s="538" t="s">
        <v>514</v>
      </c>
      <c r="C19" s="789"/>
      <c r="D19" s="47"/>
      <c r="E19" s="47"/>
      <c r="F19" s="47"/>
      <c r="G19" s="47"/>
      <c r="H19" s="47"/>
      <c r="I19" s="47"/>
      <c r="J19" s="47"/>
      <c r="K19" s="47"/>
      <c r="L19" s="47"/>
      <c r="M19" s="47"/>
      <c r="N19" s="47"/>
      <c r="O19" s="71"/>
    </row>
    <row r="20" spans="1:15" s="7" customFormat="1" ht="15" hidden="1" customHeight="1" outlineLevel="1">
      <c r="B20" s="538" t="s">
        <v>515</v>
      </c>
      <c r="C20" s="789"/>
      <c r="D20" s="47"/>
      <c r="E20" s="47"/>
      <c r="F20" s="47"/>
      <c r="G20" s="47"/>
      <c r="H20" s="47"/>
      <c r="I20" s="47"/>
      <c r="J20" s="47"/>
      <c r="K20" s="47"/>
      <c r="L20" s="47"/>
      <c r="M20" s="47"/>
      <c r="N20" s="47"/>
      <c r="O20" s="71"/>
    </row>
    <row r="21" spans="1:15" s="7" customFormat="1" ht="15" hidden="1" customHeight="1" outlineLevel="1">
      <c r="B21" s="538" t="s">
        <v>492</v>
      </c>
      <c r="C21" s="789"/>
      <c r="D21" s="47"/>
      <c r="E21" s="47"/>
      <c r="F21" s="47"/>
      <c r="G21" s="47"/>
      <c r="H21" s="47"/>
      <c r="I21" s="47"/>
      <c r="J21" s="47"/>
      <c r="K21" s="47"/>
      <c r="L21" s="47"/>
      <c r="M21" s="47"/>
      <c r="N21" s="47"/>
      <c r="O21" s="71"/>
    </row>
    <row r="22" spans="1:15" s="7" customFormat="1" ht="14.25" customHeight="1" collapsed="1">
      <c r="B22" s="538" t="s">
        <v>516</v>
      </c>
      <c r="C22" s="792"/>
      <c r="D22" s="67">
        <f>SUM(D18:D21)</f>
        <v>1.03E-2</v>
      </c>
      <c r="E22" s="67">
        <f>SUM(E18:E21)</f>
        <v>1.03E-2</v>
      </c>
      <c r="F22" s="67">
        <f>SUM(F18:F21)</f>
        <v>1.04E-2</v>
      </c>
      <c r="G22" s="67">
        <f t="shared" ref="G22:N22" si="2">SUM(G18:G21)</f>
        <v>1.1299999999999999E-2</v>
      </c>
      <c r="H22" s="67">
        <f t="shared" si="2"/>
        <v>1.15E-2</v>
      </c>
      <c r="I22" s="67">
        <f t="shared" si="2"/>
        <v>1.1599999999999999E-2</v>
      </c>
      <c r="J22" s="67">
        <f t="shared" si="2"/>
        <v>8.8999999999999999E-3</v>
      </c>
      <c r="K22" s="67">
        <f t="shared" si="2"/>
        <v>6.0000000000000001E-3</v>
      </c>
      <c r="L22" s="67">
        <f t="shared" si="2"/>
        <v>0</v>
      </c>
      <c r="M22" s="67">
        <f t="shared" si="2"/>
        <v>0</v>
      </c>
      <c r="N22" s="67">
        <f t="shared" si="2"/>
        <v>0</v>
      </c>
      <c r="O22" s="78"/>
    </row>
    <row r="23" spans="1:15" s="65" customFormat="1">
      <c r="A23" s="64"/>
      <c r="B23" s="494" t="s">
        <v>517</v>
      </c>
      <c r="C23" s="484"/>
      <c r="D23" s="485"/>
      <c r="E23" s="486">
        <f>ROUND(SUM(D22*E16+E22*E17)/12,4)</f>
        <v>1.03E-2</v>
      </c>
      <c r="F23" s="486">
        <f>ROUND(SUM(E22*F16+F22*F17)/12,4)</f>
        <v>1.04E-2</v>
      </c>
      <c r="G23" s="486">
        <f>ROUND(SUM(F22*G16+G22*G17)/12,4)</f>
        <v>1.0699999999999999E-2</v>
      </c>
      <c r="H23" s="486">
        <f>ROUND(SUM(G22*H16+H22*H17)/12,4)</f>
        <v>1.14E-2</v>
      </c>
      <c r="I23" s="486">
        <f>ROUND(SUM(H22*I16+I22*I17)/12,4)</f>
        <v>1.1599999999999999E-2</v>
      </c>
      <c r="J23" s="486">
        <f t="shared" ref="J23:N23" si="3">ROUND(SUM(I22*J16+J22*J17)/12,4)</f>
        <v>9.7999999999999997E-3</v>
      </c>
      <c r="K23" s="486">
        <f t="shared" si="3"/>
        <v>7.0000000000000001E-3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791" t="str">
        <f>'2. LRAMVA Threshold'!E43</f>
        <v>kWh</v>
      </c>
      <c r="D25" s="47">
        <v>8.0999999999999996E-3</v>
      </c>
      <c r="E25" s="47">
        <v>8.0999999999999996E-3</v>
      </c>
      <c r="F25" s="47">
        <v>8.2000000000000007E-3</v>
      </c>
      <c r="G25" s="47">
        <v>7.7999999999999996E-3</v>
      </c>
      <c r="H25" s="47">
        <v>7.9000000000000008E-3</v>
      </c>
      <c r="I25" s="47">
        <v>8.0000000000000002E-3</v>
      </c>
      <c r="J25" s="47">
        <v>8.0999999999999996E-3</v>
      </c>
      <c r="K25" s="47">
        <v>8.2000000000000007E-3</v>
      </c>
      <c r="L25" s="47"/>
      <c r="M25" s="47"/>
      <c r="N25" s="47"/>
      <c r="O25" s="71"/>
    </row>
    <row r="26" spans="1:15" s="18" customFormat="1" hidden="1" outlineLevel="1">
      <c r="A26" s="4"/>
      <c r="B26" s="538" t="s">
        <v>514</v>
      </c>
      <c r="C26" s="789"/>
      <c r="D26" s="47"/>
      <c r="E26" s="47"/>
      <c r="F26" s="47"/>
      <c r="G26" s="47"/>
      <c r="H26" s="47"/>
      <c r="I26" s="47"/>
      <c r="J26" s="47"/>
      <c r="K26" s="47"/>
      <c r="L26" s="47"/>
      <c r="M26" s="47"/>
      <c r="N26" s="47"/>
      <c r="O26" s="71"/>
    </row>
    <row r="27" spans="1:15" s="18" customFormat="1" hidden="1" outlineLevel="1">
      <c r="A27" s="4"/>
      <c r="B27" s="538" t="s">
        <v>515</v>
      </c>
      <c r="C27" s="789"/>
      <c r="D27" s="47"/>
      <c r="E27" s="47"/>
      <c r="F27" s="47"/>
      <c r="G27" s="47"/>
      <c r="H27" s="47"/>
      <c r="I27" s="47"/>
      <c r="J27" s="47"/>
      <c r="K27" s="47"/>
      <c r="L27" s="47"/>
      <c r="M27" s="47"/>
      <c r="N27" s="47"/>
      <c r="O27" s="71"/>
    </row>
    <row r="28" spans="1:15" s="18" customFormat="1" hidden="1" outlineLevel="1">
      <c r="A28" s="4"/>
      <c r="B28" s="538" t="s">
        <v>492</v>
      </c>
      <c r="C28" s="789"/>
      <c r="D28" s="47"/>
      <c r="E28" s="47"/>
      <c r="F28" s="47"/>
      <c r="G28" s="47"/>
      <c r="H28" s="47"/>
      <c r="I28" s="47"/>
      <c r="J28" s="47"/>
      <c r="K28" s="47"/>
      <c r="L28" s="47"/>
      <c r="M28" s="47"/>
      <c r="N28" s="47"/>
      <c r="O28" s="71"/>
    </row>
    <row r="29" spans="1:15" s="18" customFormat="1" collapsed="1">
      <c r="A29" s="4"/>
      <c r="B29" s="538" t="s">
        <v>516</v>
      </c>
      <c r="C29" s="792"/>
      <c r="D29" s="67">
        <f>SUM(D25:D28)</f>
        <v>8.0999999999999996E-3</v>
      </c>
      <c r="E29" s="67">
        <f t="shared" ref="E29:N29" si="4">SUM(E25:E28)</f>
        <v>8.0999999999999996E-3</v>
      </c>
      <c r="F29" s="67">
        <f t="shared" si="4"/>
        <v>8.2000000000000007E-3</v>
      </c>
      <c r="G29" s="67">
        <f t="shared" si="4"/>
        <v>7.7999999999999996E-3</v>
      </c>
      <c r="H29" s="67">
        <f t="shared" si="4"/>
        <v>7.9000000000000008E-3</v>
      </c>
      <c r="I29" s="67">
        <f t="shared" si="4"/>
        <v>8.0000000000000002E-3</v>
      </c>
      <c r="J29" s="67">
        <f t="shared" si="4"/>
        <v>8.0999999999999996E-3</v>
      </c>
      <c r="K29" s="67">
        <f t="shared" si="4"/>
        <v>8.2000000000000007E-3</v>
      </c>
      <c r="L29" s="67">
        <f t="shared" si="4"/>
        <v>0</v>
      </c>
      <c r="M29" s="67">
        <f t="shared" si="4"/>
        <v>0</v>
      </c>
      <c r="N29" s="67">
        <f t="shared" si="4"/>
        <v>0</v>
      </c>
      <c r="O29" s="78"/>
    </row>
    <row r="30" spans="1:15" s="18" customFormat="1">
      <c r="A30" s="4"/>
      <c r="B30" s="494" t="s">
        <v>517</v>
      </c>
      <c r="C30" s="490"/>
      <c r="D30" s="73"/>
      <c r="E30" s="486">
        <f>ROUND(SUM(D29*E16+E29*E17)/12,4)</f>
        <v>8.0999999999999996E-3</v>
      </c>
      <c r="F30" s="486">
        <f t="shared" ref="F30:N30" si="5">ROUND(SUM(E29*F16+F29*F17)/12,4)</f>
        <v>8.2000000000000007E-3</v>
      </c>
      <c r="G30" s="486">
        <f t="shared" si="5"/>
        <v>8.0999999999999996E-3</v>
      </c>
      <c r="H30" s="486">
        <f t="shared" si="5"/>
        <v>7.9000000000000008E-3</v>
      </c>
      <c r="I30" s="486">
        <f t="shared" si="5"/>
        <v>8.0000000000000002E-3</v>
      </c>
      <c r="J30" s="486">
        <f>ROUND(SUM(I29*J16+J29*J17)/12,4)</f>
        <v>8.0999999999999996E-3</v>
      </c>
      <c r="K30" s="486">
        <f t="shared" si="5"/>
        <v>8.2000000000000007E-3</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ht="14">
      <c r="B32" s="606" t="str">
        <f>'1.  LRAMVA Summary'!B29</f>
        <v>GS &gt; 50 to 4,999 Kw</v>
      </c>
      <c r="C32" s="791" t="str">
        <f>'2. LRAMVA Threshold'!F43</f>
        <v>kW</v>
      </c>
      <c r="D32" s="47">
        <v>1.3686</v>
      </c>
      <c r="E32" s="47">
        <v>1.3711</v>
      </c>
      <c r="F32" s="47">
        <v>1.3832</v>
      </c>
      <c r="G32" s="47">
        <v>1.3077000000000001</v>
      </c>
      <c r="H32" s="47">
        <v>1.2867</v>
      </c>
      <c r="I32" s="47">
        <v>1.3033999999999999</v>
      </c>
      <c r="J32" s="47">
        <v>1.3269</v>
      </c>
      <c r="K32" s="47">
        <v>1.3481000000000001</v>
      </c>
      <c r="L32" s="47"/>
      <c r="M32" s="47"/>
      <c r="N32" s="47"/>
      <c r="O32" s="71"/>
    </row>
    <row r="33" spans="1:15" s="18" customFormat="1" hidden="1" outlineLevel="1">
      <c r="A33" s="4"/>
      <c r="B33" s="538" t="s">
        <v>514</v>
      </c>
      <c r="C33" s="789"/>
      <c r="D33" s="47"/>
      <c r="E33" s="47"/>
      <c r="F33" s="47"/>
      <c r="G33" s="47"/>
      <c r="H33" s="47"/>
      <c r="I33" s="47"/>
      <c r="J33" s="47"/>
      <c r="K33" s="47"/>
      <c r="L33" s="47"/>
      <c r="M33" s="47"/>
      <c r="N33" s="47"/>
      <c r="O33" s="71"/>
    </row>
    <row r="34" spans="1:15" s="18" customFormat="1" hidden="1" outlineLevel="1">
      <c r="A34" s="4"/>
      <c r="B34" s="538" t="s">
        <v>515</v>
      </c>
      <c r="C34" s="789"/>
      <c r="D34" s="47"/>
      <c r="E34" s="47"/>
      <c r="F34" s="47"/>
      <c r="G34" s="47"/>
      <c r="H34" s="47"/>
      <c r="I34" s="47"/>
      <c r="J34" s="47"/>
      <c r="K34" s="47"/>
      <c r="L34" s="47"/>
      <c r="M34" s="47"/>
      <c r="N34" s="47"/>
      <c r="O34" s="71"/>
    </row>
    <row r="35" spans="1:15" s="18" customFormat="1" hidden="1" outlineLevel="1">
      <c r="A35" s="4"/>
      <c r="B35" s="538" t="s">
        <v>492</v>
      </c>
      <c r="C35" s="789"/>
      <c r="D35" s="47"/>
      <c r="E35" s="47"/>
      <c r="F35" s="47"/>
      <c r="G35" s="47"/>
      <c r="H35" s="47"/>
      <c r="I35" s="47"/>
      <c r="J35" s="47"/>
      <c r="K35" s="47"/>
      <c r="L35" s="47"/>
      <c r="M35" s="47"/>
      <c r="N35" s="47"/>
      <c r="O35" s="71"/>
    </row>
    <row r="36" spans="1:15" s="18" customFormat="1" collapsed="1">
      <c r="A36" s="4"/>
      <c r="B36" s="538" t="s">
        <v>516</v>
      </c>
      <c r="C36" s="792"/>
      <c r="D36" s="67">
        <f>SUM(D32:D35)</f>
        <v>1.3686</v>
      </c>
      <c r="E36" s="67">
        <f>SUM(E32:E35)</f>
        <v>1.3711</v>
      </c>
      <c r="F36" s="67">
        <f t="shared" ref="F36:M36" si="6">SUM(F32:F35)</f>
        <v>1.3832</v>
      </c>
      <c r="G36" s="67">
        <f t="shared" si="6"/>
        <v>1.3077000000000001</v>
      </c>
      <c r="H36" s="67">
        <f t="shared" si="6"/>
        <v>1.2867</v>
      </c>
      <c r="I36" s="67">
        <f t="shared" si="6"/>
        <v>1.3033999999999999</v>
      </c>
      <c r="J36" s="67">
        <f t="shared" si="6"/>
        <v>1.3269</v>
      </c>
      <c r="K36" s="67">
        <f t="shared" si="6"/>
        <v>1.3481000000000001</v>
      </c>
      <c r="L36" s="67">
        <f t="shared" si="6"/>
        <v>0</v>
      </c>
      <c r="M36" s="67">
        <f t="shared" si="6"/>
        <v>0</v>
      </c>
      <c r="N36" s="67">
        <f>SUM(N32:N35)</f>
        <v>0</v>
      </c>
      <c r="O36" s="78"/>
    </row>
    <row r="37" spans="1:15" s="18" customFormat="1">
      <c r="A37" s="4"/>
      <c r="B37" s="494" t="s">
        <v>517</v>
      </c>
      <c r="C37" s="490"/>
      <c r="D37" s="73"/>
      <c r="E37" s="486">
        <f t="shared" ref="E37:N37" si="7">ROUND(SUM(D36*E16+E36*E17)/12,4)</f>
        <v>1.3703000000000001</v>
      </c>
      <c r="F37" s="486">
        <f t="shared" si="7"/>
        <v>1.3792</v>
      </c>
      <c r="G37" s="486">
        <f t="shared" si="7"/>
        <v>1.3580000000000001</v>
      </c>
      <c r="H37" s="486">
        <f t="shared" si="7"/>
        <v>1.2937000000000001</v>
      </c>
      <c r="I37" s="486">
        <f t="shared" si="7"/>
        <v>1.2978000000000001</v>
      </c>
      <c r="J37" s="486">
        <f t="shared" si="7"/>
        <v>1.3190999999999999</v>
      </c>
      <c r="K37" s="486">
        <f t="shared" si="7"/>
        <v>1.341</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ht="14">
      <c r="A39" s="64"/>
      <c r="B39" s="606" t="str">
        <f>'1.  LRAMVA Summary'!B30</f>
        <v>Street Lighting</v>
      </c>
      <c r="C39" s="791" t="str">
        <f>'2. LRAMVA Threshold'!G43</f>
        <v>kW</v>
      </c>
      <c r="D39" s="47">
        <v>25.7485</v>
      </c>
      <c r="E39" s="47">
        <v>25.794799999999999</v>
      </c>
      <c r="F39" s="47">
        <v>26.021799999999999</v>
      </c>
      <c r="G39" s="47">
        <v>24.344799999999999</v>
      </c>
      <c r="H39" s="47">
        <v>27.0322</v>
      </c>
      <c r="I39" s="47">
        <v>27.383600000000001</v>
      </c>
      <c r="J39" s="47">
        <v>27.8765</v>
      </c>
      <c r="K39" s="47">
        <v>28.322500000000002</v>
      </c>
      <c r="L39" s="47"/>
      <c r="M39" s="47"/>
      <c r="N39" s="47"/>
      <c r="O39" s="71"/>
    </row>
    <row r="40" spans="1:15" s="18" customFormat="1" hidden="1" outlineLevel="1">
      <c r="A40" s="4"/>
      <c r="B40" s="538" t="s">
        <v>514</v>
      </c>
      <c r="C40" s="789"/>
      <c r="D40" s="47"/>
      <c r="E40" s="47"/>
      <c r="F40" s="47"/>
      <c r="G40" s="47"/>
      <c r="H40" s="47"/>
      <c r="I40" s="47"/>
      <c r="J40" s="47"/>
      <c r="K40" s="47"/>
      <c r="L40" s="47"/>
      <c r="M40" s="47"/>
      <c r="N40" s="47"/>
      <c r="O40" s="71"/>
    </row>
    <row r="41" spans="1:15" s="18" customFormat="1" hidden="1" outlineLevel="1">
      <c r="A41" s="4"/>
      <c r="B41" s="538" t="s">
        <v>515</v>
      </c>
      <c r="C41" s="789"/>
      <c r="D41" s="47"/>
      <c r="E41" s="47"/>
      <c r="F41" s="47"/>
      <c r="G41" s="47"/>
      <c r="H41" s="47"/>
      <c r="I41" s="47"/>
      <c r="J41" s="47"/>
      <c r="K41" s="47"/>
      <c r="L41" s="47"/>
      <c r="M41" s="47"/>
      <c r="N41" s="47"/>
      <c r="O41" s="71"/>
    </row>
    <row r="42" spans="1:15" s="18" customFormat="1" hidden="1" outlineLevel="1">
      <c r="A42" s="4"/>
      <c r="B42" s="538" t="s">
        <v>492</v>
      </c>
      <c r="C42" s="789"/>
      <c r="D42" s="47"/>
      <c r="E42" s="47"/>
      <c r="F42" s="47"/>
      <c r="G42" s="47"/>
      <c r="H42" s="47"/>
      <c r="I42" s="47"/>
      <c r="J42" s="47"/>
      <c r="K42" s="47"/>
      <c r="L42" s="47"/>
      <c r="M42" s="47"/>
      <c r="N42" s="47"/>
      <c r="O42" s="71"/>
    </row>
    <row r="43" spans="1:15" s="18" customFormat="1" collapsed="1">
      <c r="A43" s="4"/>
      <c r="B43" s="538" t="s">
        <v>516</v>
      </c>
      <c r="C43" s="792"/>
      <c r="D43" s="67">
        <f>SUM(D39:D42)</f>
        <v>25.7485</v>
      </c>
      <c r="E43" s="67">
        <f t="shared" ref="E43:N43" si="8">SUM(E39:E42)</f>
        <v>25.794799999999999</v>
      </c>
      <c r="F43" s="67">
        <f t="shared" si="8"/>
        <v>26.021799999999999</v>
      </c>
      <c r="G43" s="67">
        <f t="shared" si="8"/>
        <v>24.344799999999999</v>
      </c>
      <c r="H43" s="67">
        <f t="shared" si="8"/>
        <v>27.0322</v>
      </c>
      <c r="I43" s="67">
        <f t="shared" si="8"/>
        <v>27.383600000000001</v>
      </c>
      <c r="J43" s="67">
        <f t="shared" si="8"/>
        <v>27.8765</v>
      </c>
      <c r="K43" s="67">
        <f t="shared" si="8"/>
        <v>28.322500000000002</v>
      </c>
      <c r="L43" s="67">
        <f t="shared" si="8"/>
        <v>0</v>
      </c>
      <c r="M43" s="67">
        <f t="shared" si="8"/>
        <v>0</v>
      </c>
      <c r="N43" s="67">
        <f t="shared" si="8"/>
        <v>0</v>
      </c>
      <c r="O43" s="78"/>
    </row>
    <row r="44" spans="1:15" s="14" customFormat="1">
      <c r="A44" s="74"/>
      <c r="B44" s="494" t="s">
        <v>517</v>
      </c>
      <c r="C44" s="490"/>
      <c r="D44" s="73"/>
      <c r="E44" s="486">
        <f t="shared" ref="E44:N44" si="9">ROUND(SUM(D43*E16+E43*E17)/12,4)</f>
        <v>25.779399999999999</v>
      </c>
      <c r="F44" s="486">
        <f t="shared" si="9"/>
        <v>25.946100000000001</v>
      </c>
      <c r="G44" s="486">
        <f t="shared" si="9"/>
        <v>25.462800000000001</v>
      </c>
      <c r="H44" s="486">
        <f t="shared" si="9"/>
        <v>26.136399999999998</v>
      </c>
      <c r="I44" s="486">
        <f t="shared" si="9"/>
        <v>27.266500000000001</v>
      </c>
      <c r="J44" s="486">
        <f t="shared" si="9"/>
        <v>27.712199999999999</v>
      </c>
      <c r="K44" s="486">
        <f t="shared" si="9"/>
        <v>28.1738</v>
      </c>
      <c r="L44" s="486">
        <f t="shared" si="9"/>
        <v>0</v>
      </c>
      <c r="M44" s="486">
        <f t="shared" si="9"/>
        <v>0</v>
      </c>
      <c r="N44" s="486">
        <f t="shared" si="9"/>
        <v>0</v>
      </c>
      <c r="O44" s="491"/>
    </row>
    <row r="45" spans="1:15" s="72" customFormat="1" ht="14">
      <c r="A45" s="74"/>
      <c r="B45" s="494"/>
      <c r="C45" s="490"/>
      <c r="D45" s="73"/>
      <c r="E45" s="73"/>
      <c r="F45" s="73"/>
      <c r="G45" s="73"/>
      <c r="H45" s="73"/>
      <c r="I45" s="73"/>
      <c r="J45" s="73"/>
      <c r="K45" s="73"/>
      <c r="L45" s="489"/>
      <c r="M45" s="489"/>
      <c r="N45" s="489"/>
      <c r="O45" s="495"/>
    </row>
    <row r="46" spans="1:15" s="66" customFormat="1" ht="14">
      <c r="A46" s="64"/>
      <c r="B46" s="606" t="str">
        <f>'1.  LRAMVA Summary'!B31</f>
        <v>Unmetered Scattered Load</v>
      </c>
      <c r="C46" s="791" t="str">
        <f>'2. LRAMVA Threshold'!H43</f>
        <v>kWh</v>
      </c>
      <c r="D46" s="47">
        <v>8.2000000000000007E-3</v>
      </c>
      <c r="E46" s="47">
        <v>8.2000000000000007E-3</v>
      </c>
      <c r="F46" s="47">
        <v>8.3999999999999995E-3</v>
      </c>
      <c r="G46" s="47">
        <v>8.3999999999999995E-3</v>
      </c>
      <c r="H46" s="47">
        <v>8.6E-3</v>
      </c>
      <c r="I46" s="47">
        <v>8.6E-3</v>
      </c>
      <c r="J46" s="47">
        <v>8.8000000000000005E-3</v>
      </c>
      <c r="K46" s="47">
        <v>8.8999999999999999E-3</v>
      </c>
      <c r="L46" s="47"/>
      <c r="M46" s="47"/>
      <c r="N46" s="47"/>
      <c r="O46" s="71"/>
    </row>
    <row r="47" spans="1:15" s="18" customFormat="1" hidden="1" outlineLevel="1">
      <c r="A47" s="4"/>
      <c r="B47" s="538" t="s">
        <v>514</v>
      </c>
      <c r="C47" s="789"/>
      <c r="D47" s="47"/>
      <c r="E47" s="47"/>
      <c r="F47" s="47"/>
      <c r="G47" s="47"/>
      <c r="H47" s="47"/>
      <c r="I47" s="47"/>
      <c r="J47" s="47"/>
      <c r="K47" s="47"/>
      <c r="L47" s="47"/>
      <c r="M47" s="47"/>
      <c r="N47" s="47"/>
      <c r="O47" s="71"/>
    </row>
    <row r="48" spans="1:15" s="18" customFormat="1" hidden="1" outlineLevel="1">
      <c r="A48" s="4"/>
      <c r="B48" s="538" t="s">
        <v>515</v>
      </c>
      <c r="C48" s="789"/>
      <c r="D48" s="47"/>
      <c r="E48" s="47"/>
      <c r="F48" s="47"/>
      <c r="G48" s="47"/>
      <c r="H48" s="47"/>
      <c r="I48" s="47"/>
      <c r="J48" s="47"/>
      <c r="K48" s="47"/>
      <c r="L48" s="47"/>
      <c r="M48" s="47"/>
      <c r="N48" s="47"/>
      <c r="O48" s="71"/>
    </row>
    <row r="49" spans="1:15" s="18" customFormat="1" hidden="1" outlineLevel="1">
      <c r="A49" s="4"/>
      <c r="B49" s="538" t="s">
        <v>492</v>
      </c>
      <c r="C49" s="789"/>
      <c r="D49" s="47"/>
      <c r="E49" s="47"/>
      <c r="F49" s="47"/>
      <c r="G49" s="47"/>
      <c r="H49" s="47"/>
      <c r="I49" s="47"/>
      <c r="J49" s="47"/>
      <c r="K49" s="47"/>
      <c r="L49" s="47"/>
      <c r="M49" s="47"/>
      <c r="N49" s="47"/>
      <c r="O49" s="71"/>
    </row>
    <row r="50" spans="1:15" s="18" customFormat="1" collapsed="1">
      <c r="A50" s="4"/>
      <c r="B50" s="538" t="s">
        <v>516</v>
      </c>
      <c r="C50" s="792"/>
      <c r="D50" s="67">
        <f>SUM(D46:D49)</f>
        <v>8.2000000000000007E-3</v>
      </c>
      <c r="E50" s="67">
        <f t="shared" ref="E50:N50" si="10">SUM(E46:E49)</f>
        <v>8.2000000000000007E-3</v>
      </c>
      <c r="F50" s="67">
        <f t="shared" si="10"/>
        <v>8.3999999999999995E-3</v>
      </c>
      <c r="G50" s="67">
        <f t="shared" si="10"/>
        <v>8.3999999999999995E-3</v>
      </c>
      <c r="H50" s="67">
        <f t="shared" si="10"/>
        <v>8.6E-3</v>
      </c>
      <c r="I50" s="67">
        <f t="shared" si="10"/>
        <v>8.6E-3</v>
      </c>
      <c r="J50" s="67">
        <f t="shared" si="10"/>
        <v>8.8000000000000005E-3</v>
      </c>
      <c r="K50" s="67">
        <f t="shared" si="10"/>
        <v>8.8999999999999999E-3</v>
      </c>
      <c r="L50" s="67">
        <f t="shared" si="10"/>
        <v>0</v>
      </c>
      <c r="M50" s="67">
        <f t="shared" si="10"/>
        <v>0</v>
      </c>
      <c r="N50" s="67">
        <f t="shared" si="10"/>
        <v>0</v>
      </c>
      <c r="O50" s="78"/>
    </row>
    <row r="51" spans="1:15" s="14" customFormat="1">
      <c r="A51" s="74"/>
      <c r="B51" s="494" t="s">
        <v>517</v>
      </c>
      <c r="C51" s="490"/>
      <c r="D51" s="73"/>
      <c r="E51" s="486">
        <f t="shared" ref="E51:N51" si="11">ROUND(SUM(D50*E16+E50*E17)/12,4)</f>
        <v>8.2000000000000007E-3</v>
      </c>
      <c r="F51" s="486">
        <f t="shared" si="11"/>
        <v>8.3000000000000001E-3</v>
      </c>
      <c r="G51" s="486">
        <f t="shared" si="11"/>
        <v>8.3999999999999995E-3</v>
      </c>
      <c r="H51" s="486">
        <f t="shared" si="11"/>
        <v>8.5000000000000006E-3</v>
      </c>
      <c r="I51" s="486">
        <f t="shared" si="11"/>
        <v>8.6E-3</v>
      </c>
      <c r="J51" s="486">
        <f t="shared" si="11"/>
        <v>8.6999999999999994E-3</v>
      </c>
      <c r="K51" s="486">
        <f t="shared" si="11"/>
        <v>8.8999999999999999E-3</v>
      </c>
      <c r="L51" s="486">
        <f t="shared" si="11"/>
        <v>0</v>
      </c>
      <c r="M51" s="486">
        <f t="shared" si="11"/>
        <v>0</v>
      </c>
      <c r="N51" s="486">
        <f t="shared" si="11"/>
        <v>0</v>
      </c>
      <c r="O51" s="491"/>
    </row>
    <row r="52" spans="1:15" s="72" customFormat="1" ht="14">
      <c r="A52" s="74"/>
      <c r="B52" s="494"/>
      <c r="C52" s="490"/>
      <c r="D52" s="73"/>
      <c r="E52" s="73"/>
      <c r="F52" s="73"/>
      <c r="G52" s="73"/>
      <c r="H52" s="73"/>
      <c r="I52" s="73"/>
      <c r="J52" s="73"/>
      <c r="K52" s="73"/>
      <c r="L52" s="496"/>
      <c r="M52" s="496"/>
      <c r="N52" s="496"/>
      <c r="O52" s="495"/>
    </row>
    <row r="53" spans="1:15" s="66" customFormat="1" ht="14">
      <c r="A53" s="64"/>
      <c r="B53" s="606">
        <f>'1.  LRAMVA Summary'!B32</f>
        <v>0</v>
      </c>
      <c r="C53" s="791">
        <f>'2. LRAMVA Threshold'!I43</f>
        <v>0</v>
      </c>
      <c r="D53" s="47"/>
      <c r="E53" s="47"/>
      <c r="F53" s="47"/>
      <c r="G53" s="47"/>
      <c r="H53" s="47"/>
      <c r="I53" s="47"/>
      <c r="J53" s="47"/>
      <c r="K53" s="47"/>
      <c r="L53" s="47"/>
      <c r="M53" s="47"/>
      <c r="N53" s="47"/>
      <c r="O53" s="71"/>
    </row>
    <row r="54" spans="1:15" s="18" customFormat="1" hidden="1" outlineLevel="1">
      <c r="A54" s="4"/>
      <c r="B54" s="538" t="s">
        <v>514</v>
      </c>
      <c r="C54" s="789"/>
      <c r="D54" s="47"/>
      <c r="E54" s="47"/>
      <c r="F54" s="47"/>
      <c r="G54" s="47"/>
      <c r="H54" s="47"/>
      <c r="I54" s="47"/>
      <c r="J54" s="47"/>
      <c r="K54" s="47"/>
      <c r="L54" s="47"/>
      <c r="M54" s="47"/>
      <c r="N54" s="47"/>
      <c r="O54" s="71"/>
    </row>
    <row r="55" spans="1:15" s="18" customFormat="1" hidden="1" outlineLevel="1">
      <c r="A55" s="4"/>
      <c r="B55" s="538" t="s">
        <v>515</v>
      </c>
      <c r="C55" s="789"/>
      <c r="D55" s="47"/>
      <c r="E55" s="47"/>
      <c r="F55" s="47"/>
      <c r="G55" s="47"/>
      <c r="H55" s="47"/>
      <c r="I55" s="47"/>
      <c r="J55" s="47"/>
      <c r="K55" s="47"/>
      <c r="L55" s="47"/>
      <c r="M55" s="47"/>
      <c r="N55" s="47"/>
      <c r="O55" s="71"/>
    </row>
    <row r="56" spans="1:15" s="18" customFormat="1" hidden="1" outlineLevel="1">
      <c r="A56" s="4"/>
      <c r="B56" s="538" t="s">
        <v>492</v>
      </c>
      <c r="C56" s="789"/>
      <c r="D56" s="47"/>
      <c r="E56" s="47"/>
      <c r="F56" s="47"/>
      <c r="G56" s="47"/>
      <c r="H56" s="47"/>
      <c r="I56" s="47"/>
      <c r="J56" s="47"/>
      <c r="K56" s="47"/>
      <c r="L56" s="47"/>
      <c r="M56" s="47"/>
      <c r="N56" s="47"/>
      <c r="O56" s="71"/>
    </row>
    <row r="57" spans="1:15" s="18" customFormat="1" collapsed="1">
      <c r="A57" s="4"/>
      <c r="B57" s="538" t="s">
        <v>516</v>
      </c>
      <c r="C57" s="792"/>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4" t="s">
        <v>517</v>
      </c>
      <c r="C58" s="490"/>
      <c r="D58" s="73"/>
      <c r="E58" s="486">
        <f t="shared" ref="E58:N58" si="13">ROUND(SUM(D57*E16+E57*E17)/12,4)</f>
        <v>0</v>
      </c>
      <c r="F58" s="486">
        <f t="shared" si="13"/>
        <v>0</v>
      </c>
      <c r="G58" s="486">
        <f t="shared" si="13"/>
        <v>0</v>
      </c>
      <c r="H58" s="486">
        <f t="shared" si="13"/>
        <v>0</v>
      </c>
      <c r="I58" s="486">
        <f t="shared" si="13"/>
        <v>0</v>
      </c>
      <c r="J58" s="486">
        <f t="shared" si="13"/>
        <v>0</v>
      </c>
      <c r="K58" s="486">
        <f t="shared" si="13"/>
        <v>0</v>
      </c>
      <c r="L58" s="486">
        <f t="shared" si="13"/>
        <v>0</v>
      </c>
      <c r="M58" s="486">
        <f t="shared" si="13"/>
        <v>0</v>
      </c>
      <c r="N58" s="486">
        <f t="shared" si="13"/>
        <v>0</v>
      </c>
      <c r="O58" s="491"/>
    </row>
    <row r="59" spans="1:15" s="72" customFormat="1" ht="14">
      <c r="A59" s="74"/>
      <c r="B59" s="494"/>
      <c r="C59" s="490"/>
      <c r="D59" s="73"/>
      <c r="E59" s="73"/>
      <c r="F59" s="73"/>
      <c r="G59" s="73"/>
      <c r="H59" s="73"/>
      <c r="I59" s="73"/>
      <c r="J59" s="73"/>
      <c r="K59" s="73"/>
      <c r="L59" s="496"/>
      <c r="M59" s="496"/>
      <c r="N59" s="496"/>
      <c r="O59" s="495"/>
    </row>
    <row r="60" spans="1:15" s="66" customFormat="1" ht="14">
      <c r="A60" s="64"/>
      <c r="B60" s="606">
        <f>'1.  LRAMVA Summary'!B33</f>
        <v>0</v>
      </c>
      <c r="C60" s="791">
        <f>'2. LRAMVA Threshold'!J43</f>
        <v>0</v>
      </c>
      <c r="D60" s="47"/>
      <c r="E60" s="47"/>
      <c r="F60" s="47"/>
      <c r="G60" s="47"/>
      <c r="H60" s="47"/>
      <c r="I60" s="47"/>
      <c r="J60" s="47"/>
      <c r="K60" s="47"/>
      <c r="L60" s="47"/>
      <c r="M60" s="47"/>
      <c r="N60" s="47"/>
      <c r="O60" s="71"/>
    </row>
    <row r="61" spans="1:15" s="18" customFormat="1" hidden="1" outlineLevel="1">
      <c r="A61" s="4"/>
      <c r="B61" s="538" t="s">
        <v>514</v>
      </c>
      <c r="C61" s="789"/>
      <c r="D61" s="47"/>
      <c r="E61" s="47"/>
      <c r="F61" s="47"/>
      <c r="G61" s="47"/>
      <c r="H61" s="47"/>
      <c r="I61" s="47"/>
      <c r="J61" s="47"/>
      <c r="K61" s="47"/>
      <c r="L61" s="47"/>
      <c r="M61" s="47"/>
      <c r="N61" s="47"/>
      <c r="O61" s="71"/>
    </row>
    <row r="62" spans="1:15" s="18" customFormat="1" hidden="1" outlineLevel="1">
      <c r="A62" s="4"/>
      <c r="B62" s="538" t="s">
        <v>515</v>
      </c>
      <c r="C62" s="789"/>
      <c r="D62" s="47"/>
      <c r="E62" s="47"/>
      <c r="F62" s="47"/>
      <c r="G62" s="47"/>
      <c r="H62" s="47"/>
      <c r="I62" s="47"/>
      <c r="J62" s="47"/>
      <c r="K62" s="47"/>
      <c r="L62" s="47"/>
      <c r="M62" s="47"/>
      <c r="N62" s="47"/>
      <c r="O62" s="71"/>
    </row>
    <row r="63" spans="1:15" s="18" customFormat="1" hidden="1" outlineLevel="1">
      <c r="A63" s="4"/>
      <c r="B63" s="538" t="s">
        <v>492</v>
      </c>
      <c r="C63" s="789"/>
      <c r="D63" s="47"/>
      <c r="E63" s="47"/>
      <c r="F63" s="47"/>
      <c r="G63" s="47"/>
      <c r="H63" s="47"/>
      <c r="I63" s="47"/>
      <c r="J63" s="47"/>
      <c r="K63" s="47"/>
      <c r="L63" s="47"/>
      <c r="M63" s="47"/>
      <c r="N63" s="47"/>
      <c r="O63" s="71"/>
    </row>
    <row r="64" spans="1:15" s="18" customFormat="1" collapsed="1">
      <c r="A64" s="4"/>
      <c r="B64" s="538" t="s">
        <v>516</v>
      </c>
      <c r="C64" s="792"/>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517</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ht="14">
      <c r="A67" s="64"/>
      <c r="B67" s="606">
        <f>'1.  LRAMVA Summary'!B34</f>
        <v>0</v>
      </c>
      <c r="C67" s="791">
        <f>'2. LRAMVA Threshold'!K43</f>
        <v>0</v>
      </c>
      <c r="D67" s="47"/>
      <c r="E67" s="47"/>
      <c r="F67" s="47"/>
      <c r="G67" s="47"/>
      <c r="H67" s="47"/>
      <c r="I67" s="47"/>
      <c r="J67" s="47"/>
      <c r="K67" s="47"/>
      <c r="L67" s="47"/>
      <c r="M67" s="47"/>
      <c r="N67" s="47"/>
      <c r="O67" s="71"/>
    </row>
    <row r="68" spans="1:15" s="18" customFormat="1" hidden="1" outlineLevel="1">
      <c r="A68" s="4"/>
      <c r="B68" s="538" t="s">
        <v>514</v>
      </c>
      <c r="C68" s="789"/>
      <c r="D68" s="47"/>
      <c r="E68" s="47"/>
      <c r="F68" s="47"/>
      <c r="G68" s="47"/>
      <c r="H68" s="47"/>
      <c r="I68" s="47"/>
      <c r="J68" s="47"/>
      <c r="K68" s="47"/>
      <c r="L68" s="47"/>
      <c r="M68" s="47"/>
      <c r="N68" s="47"/>
      <c r="O68" s="71"/>
    </row>
    <row r="69" spans="1:15" s="18" customFormat="1" hidden="1" outlineLevel="1">
      <c r="A69" s="4"/>
      <c r="B69" s="538" t="s">
        <v>515</v>
      </c>
      <c r="C69" s="789"/>
      <c r="D69" s="47"/>
      <c r="E69" s="47"/>
      <c r="F69" s="47"/>
      <c r="G69" s="47"/>
      <c r="H69" s="47"/>
      <c r="I69" s="47"/>
      <c r="J69" s="47"/>
      <c r="K69" s="47"/>
      <c r="L69" s="47"/>
      <c r="M69" s="47"/>
      <c r="N69" s="47"/>
      <c r="O69" s="71"/>
    </row>
    <row r="70" spans="1:15" s="18" customFormat="1" hidden="1" outlineLevel="1">
      <c r="A70" s="4"/>
      <c r="B70" s="538" t="s">
        <v>492</v>
      </c>
      <c r="C70" s="789"/>
      <c r="D70" s="47"/>
      <c r="E70" s="47"/>
      <c r="F70" s="47"/>
      <c r="G70" s="47"/>
      <c r="H70" s="47"/>
      <c r="I70" s="47"/>
      <c r="J70" s="47"/>
      <c r="K70" s="47"/>
      <c r="L70" s="47"/>
      <c r="M70" s="47"/>
      <c r="N70" s="47"/>
      <c r="O70" s="71"/>
    </row>
    <row r="71" spans="1:15" s="18" customFormat="1" collapsed="1">
      <c r="A71" s="4"/>
      <c r="B71" s="538" t="s">
        <v>516</v>
      </c>
      <c r="C71" s="792"/>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517</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ht="14">
      <c r="A74" s="64"/>
      <c r="B74" s="606">
        <f>'1.  LRAMVA Summary'!B35</f>
        <v>0</v>
      </c>
      <c r="C74" s="791">
        <f>'2. LRAMVA Threshold'!L43</f>
        <v>0</v>
      </c>
      <c r="D74" s="47"/>
      <c r="E74" s="47"/>
      <c r="F74" s="47"/>
      <c r="G74" s="47"/>
      <c r="H74" s="47"/>
      <c r="I74" s="47"/>
      <c r="J74" s="47"/>
      <c r="K74" s="47"/>
      <c r="L74" s="47"/>
      <c r="M74" s="47"/>
      <c r="N74" s="47"/>
      <c r="O74" s="71"/>
    </row>
    <row r="75" spans="1:15" s="18" customFormat="1" hidden="1" outlineLevel="1">
      <c r="A75" s="4"/>
      <c r="B75" s="538" t="s">
        <v>514</v>
      </c>
      <c r="C75" s="789"/>
      <c r="D75" s="47"/>
      <c r="E75" s="47"/>
      <c r="F75" s="47"/>
      <c r="G75" s="47"/>
      <c r="H75" s="47"/>
      <c r="I75" s="47"/>
      <c r="J75" s="47"/>
      <c r="K75" s="47"/>
      <c r="L75" s="47"/>
      <c r="M75" s="47"/>
      <c r="N75" s="47"/>
      <c r="O75" s="71"/>
    </row>
    <row r="76" spans="1:15" s="18" customFormat="1" hidden="1" outlineLevel="1">
      <c r="A76" s="4"/>
      <c r="B76" s="538" t="s">
        <v>515</v>
      </c>
      <c r="C76" s="789"/>
      <c r="D76" s="47"/>
      <c r="E76" s="47"/>
      <c r="F76" s="47"/>
      <c r="G76" s="47"/>
      <c r="H76" s="47"/>
      <c r="I76" s="47"/>
      <c r="J76" s="47"/>
      <c r="K76" s="47"/>
      <c r="L76" s="47"/>
      <c r="M76" s="47"/>
      <c r="N76" s="47"/>
      <c r="O76" s="71"/>
    </row>
    <row r="77" spans="1:15" s="18" customFormat="1" hidden="1" outlineLevel="1">
      <c r="A77" s="4"/>
      <c r="B77" s="538" t="s">
        <v>492</v>
      </c>
      <c r="C77" s="789"/>
      <c r="D77" s="47"/>
      <c r="E77" s="47"/>
      <c r="F77" s="47"/>
      <c r="G77" s="47"/>
      <c r="H77" s="47"/>
      <c r="I77" s="47"/>
      <c r="J77" s="47"/>
      <c r="K77" s="47"/>
      <c r="L77" s="47"/>
      <c r="M77" s="47"/>
      <c r="N77" s="47"/>
      <c r="O77" s="71"/>
    </row>
    <row r="78" spans="1:15" s="18" customFormat="1" collapsed="1">
      <c r="A78" s="4"/>
      <c r="B78" s="538" t="s">
        <v>516</v>
      </c>
      <c r="C78" s="792"/>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517</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ht="14">
      <c r="A81" s="64"/>
      <c r="B81" s="606">
        <f>'1.  LRAMVA Summary'!B36</f>
        <v>0</v>
      </c>
      <c r="C81" s="791">
        <f>'2. LRAMVA Threshold'!M43</f>
        <v>0</v>
      </c>
      <c r="D81" s="47"/>
      <c r="E81" s="47"/>
      <c r="F81" s="47"/>
      <c r="G81" s="47"/>
      <c r="H81" s="47"/>
      <c r="I81" s="47"/>
      <c r="J81" s="47"/>
      <c r="K81" s="47"/>
      <c r="L81" s="47"/>
      <c r="M81" s="47"/>
      <c r="N81" s="47"/>
      <c r="O81" s="71"/>
    </row>
    <row r="82" spans="1:15" s="18" customFormat="1" hidden="1" outlineLevel="1">
      <c r="A82" s="4"/>
      <c r="B82" s="538" t="s">
        <v>514</v>
      </c>
      <c r="C82" s="789"/>
      <c r="D82" s="47"/>
      <c r="E82" s="47"/>
      <c r="F82" s="47"/>
      <c r="G82" s="47"/>
      <c r="H82" s="47"/>
      <c r="I82" s="47"/>
      <c r="J82" s="47"/>
      <c r="K82" s="47"/>
      <c r="L82" s="47"/>
      <c r="M82" s="47"/>
      <c r="N82" s="47"/>
      <c r="O82" s="71"/>
    </row>
    <row r="83" spans="1:15" s="18" customFormat="1" hidden="1" outlineLevel="1">
      <c r="A83" s="4"/>
      <c r="B83" s="538" t="s">
        <v>515</v>
      </c>
      <c r="C83" s="789"/>
      <c r="D83" s="47"/>
      <c r="E83" s="47"/>
      <c r="F83" s="47"/>
      <c r="G83" s="47"/>
      <c r="H83" s="47"/>
      <c r="I83" s="47"/>
      <c r="J83" s="47"/>
      <c r="K83" s="47"/>
      <c r="L83" s="47"/>
      <c r="M83" s="47"/>
      <c r="N83" s="47"/>
      <c r="O83" s="71"/>
    </row>
    <row r="84" spans="1:15" s="18" customFormat="1" hidden="1" outlineLevel="1">
      <c r="A84" s="4"/>
      <c r="B84" s="538" t="s">
        <v>492</v>
      </c>
      <c r="C84" s="789"/>
      <c r="D84" s="47"/>
      <c r="E84" s="47"/>
      <c r="F84" s="47"/>
      <c r="G84" s="47"/>
      <c r="H84" s="47"/>
      <c r="I84" s="47"/>
      <c r="J84" s="47"/>
      <c r="K84" s="47"/>
      <c r="L84" s="47"/>
      <c r="M84" s="47"/>
      <c r="N84" s="47"/>
      <c r="O84" s="71"/>
    </row>
    <row r="85" spans="1:15" s="18" customFormat="1" collapsed="1">
      <c r="A85" s="4"/>
      <c r="B85" s="538" t="s">
        <v>516</v>
      </c>
      <c r="C85" s="792"/>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517</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ht="14">
      <c r="A88" s="64"/>
      <c r="B88" s="606">
        <f>'1.  LRAMVA Summary'!B37</f>
        <v>0</v>
      </c>
      <c r="C88" s="791">
        <f>'2. LRAMVA Threshold'!N43</f>
        <v>0</v>
      </c>
      <c r="D88" s="47"/>
      <c r="E88" s="47"/>
      <c r="F88" s="47"/>
      <c r="G88" s="47"/>
      <c r="H88" s="47"/>
      <c r="I88" s="47"/>
      <c r="J88" s="47"/>
      <c r="K88" s="47"/>
      <c r="L88" s="47"/>
      <c r="M88" s="47"/>
      <c r="N88" s="47"/>
      <c r="O88" s="71"/>
    </row>
    <row r="89" spans="1:15" s="18" customFormat="1" hidden="1" outlineLevel="1">
      <c r="A89" s="4"/>
      <c r="B89" s="538" t="s">
        <v>514</v>
      </c>
      <c r="C89" s="789"/>
      <c r="D89" s="47"/>
      <c r="E89" s="47"/>
      <c r="F89" s="47"/>
      <c r="G89" s="47"/>
      <c r="H89" s="47"/>
      <c r="I89" s="47"/>
      <c r="J89" s="47"/>
      <c r="K89" s="47"/>
      <c r="L89" s="47"/>
      <c r="M89" s="47"/>
      <c r="N89" s="47"/>
      <c r="O89" s="71"/>
    </row>
    <row r="90" spans="1:15" s="18" customFormat="1" hidden="1" outlineLevel="1">
      <c r="A90" s="4"/>
      <c r="B90" s="538" t="s">
        <v>515</v>
      </c>
      <c r="C90" s="789"/>
      <c r="D90" s="47"/>
      <c r="E90" s="47"/>
      <c r="F90" s="47"/>
      <c r="G90" s="47"/>
      <c r="H90" s="47"/>
      <c r="I90" s="47"/>
      <c r="J90" s="47"/>
      <c r="K90" s="47"/>
      <c r="L90" s="47"/>
      <c r="M90" s="47"/>
      <c r="N90" s="47"/>
      <c r="O90" s="71"/>
    </row>
    <row r="91" spans="1:15" s="18" customFormat="1" hidden="1" outlineLevel="1">
      <c r="A91" s="4"/>
      <c r="B91" s="538" t="s">
        <v>492</v>
      </c>
      <c r="C91" s="789"/>
      <c r="D91" s="47"/>
      <c r="E91" s="47"/>
      <c r="F91" s="47"/>
      <c r="G91" s="47"/>
      <c r="H91" s="47"/>
      <c r="I91" s="47"/>
      <c r="J91" s="47"/>
      <c r="K91" s="47"/>
      <c r="L91" s="47"/>
      <c r="M91" s="47"/>
      <c r="N91" s="47"/>
      <c r="O91" s="71"/>
    </row>
    <row r="92" spans="1:15" s="18" customFormat="1" collapsed="1">
      <c r="A92" s="4"/>
      <c r="B92" s="538" t="s">
        <v>516</v>
      </c>
      <c r="C92" s="792"/>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517</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ht="14">
      <c r="A95" s="64"/>
      <c r="B95" s="606">
        <f>'1.  LRAMVA Summary'!B38</f>
        <v>0</v>
      </c>
      <c r="C95" s="791">
        <f>'2. LRAMVA Threshold'!O43</f>
        <v>0</v>
      </c>
      <c r="D95" s="47"/>
      <c r="E95" s="47"/>
      <c r="F95" s="47"/>
      <c r="G95" s="47"/>
      <c r="H95" s="47"/>
      <c r="I95" s="47"/>
      <c r="J95" s="47"/>
      <c r="K95" s="47"/>
      <c r="L95" s="47"/>
      <c r="M95" s="47"/>
      <c r="N95" s="47"/>
      <c r="O95" s="71"/>
    </row>
    <row r="96" spans="1:15" s="18" customFormat="1" hidden="1" outlineLevel="1">
      <c r="A96" s="4"/>
      <c r="B96" s="538" t="s">
        <v>514</v>
      </c>
      <c r="C96" s="789"/>
      <c r="D96" s="47"/>
      <c r="E96" s="47"/>
      <c r="F96" s="47"/>
      <c r="G96" s="47"/>
      <c r="H96" s="47"/>
      <c r="I96" s="47"/>
      <c r="J96" s="47"/>
      <c r="K96" s="47"/>
      <c r="L96" s="47"/>
      <c r="M96" s="47"/>
      <c r="N96" s="47"/>
      <c r="O96" s="71"/>
    </row>
    <row r="97" spans="1:15" s="18" customFormat="1" hidden="1" outlineLevel="1">
      <c r="A97" s="4"/>
      <c r="B97" s="538" t="s">
        <v>515</v>
      </c>
      <c r="C97" s="789"/>
      <c r="D97" s="47"/>
      <c r="E97" s="47"/>
      <c r="F97" s="47"/>
      <c r="G97" s="47"/>
      <c r="H97" s="47"/>
      <c r="I97" s="47"/>
      <c r="J97" s="47"/>
      <c r="K97" s="47"/>
      <c r="L97" s="47"/>
      <c r="M97" s="47"/>
      <c r="N97" s="47"/>
      <c r="O97" s="71"/>
    </row>
    <row r="98" spans="1:15" s="18" customFormat="1" hidden="1" outlineLevel="1">
      <c r="A98" s="4"/>
      <c r="B98" s="538" t="s">
        <v>492</v>
      </c>
      <c r="C98" s="789"/>
      <c r="D98" s="47"/>
      <c r="E98" s="47"/>
      <c r="F98" s="47"/>
      <c r="G98" s="47"/>
      <c r="H98" s="47"/>
      <c r="I98" s="47"/>
      <c r="J98" s="47"/>
      <c r="K98" s="47"/>
      <c r="L98" s="47"/>
      <c r="M98" s="47"/>
      <c r="N98" s="47"/>
      <c r="O98" s="71"/>
    </row>
    <row r="99" spans="1:15" s="18" customFormat="1" collapsed="1">
      <c r="A99" s="4"/>
      <c r="B99" s="538" t="s">
        <v>516</v>
      </c>
      <c r="C99" s="792"/>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517</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ht="14">
      <c r="A102" s="64"/>
      <c r="B102" s="606">
        <f>'1.  LRAMVA Summary'!B39</f>
        <v>0</v>
      </c>
      <c r="C102" s="791">
        <f>'2. LRAMVA Threshold'!P43</f>
        <v>0</v>
      </c>
      <c r="D102" s="47"/>
      <c r="E102" s="47"/>
      <c r="F102" s="47"/>
      <c r="G102" s="47"/>
      <c r="H102" s="47"/>
      <c r="I102" s="47"/>
      <c r="J102" s="47"/>
      <c r="K102" s="47"/>
      <c r="L102" s="47"/>
      <c r="M102" s="47"/>
      <c r="N102" s="47"/>
      <c r="O102" s="71"/>
    </row>
    <row r="103" spans="1:15" s="18" customFormat="1" hidden="1" outlineLevel="1">
      <c r="A103" s="4"/>
      <c r="B103" s="538" t="s">
        <v>514</v>
      </c>
      <c r="C103" s="789"/>
      <c r="D103" s="47"/>
      <c r="E103" s="47"/>
      <c r="F103" s="47"/>
      <c r="G103" s="47"/>
      <c r="H103" s="47"/>
      <c r="I103" s="47"/>
      <c r="J103" s="47"/>
      <c r="K103" s="47"/>
      <c r="L103" s="47"/>
      <c r="M103" s="47"/>
      <c r="N103" s="47"/>
      <c r="O103" s="71"/>
    </row>
    <row r="104" spans="1:15" s="18" customFormat="1" hidden="1" outlineLevel="1">
      <c r="A104" s="4"/>
      <c r="B104" s="538" t="s">
        <v>515</v>
      </c>
      <c r="C104" s="789"/>
      <c r="D104" s="47"/>
      <c r="E104" s="47"/>
      <c r="F104" s="47"/>
      <c r="G104" s="47"/>
      <c r="H104" s="47"/>
      <c r="I104" s="47"/>
      <c r="J104" s="47"/>
      <c r="K104" s="47"/>
      <c r="L104" s="47"/>
      <c r="M104" s="47"/>
      <c r="N104" s="47"/>
      <c r="O104" s="71"/>
    </row>
    <row r="105" spans="1:15" s="18" customFormat="1" hidden="1" outlineLevel="1">
      <c r="A105" s="4"/>
      <c r="B105" s="538" t="s">
        <v>492</v>
      </c>
      <c r="C105" s="789"/>
      <c r="D105" s="47"/>
      <c r="E105" s="47"/>
      <c r="F105" s="47"/>
      <c r="G105" s="47"/>
      <c r="H105" s="47"/>
      <c r="I105" s="47"/>
      <c r="J105" s="47"/>
      <c r="K105" s="47"/>
      <c r="L105" s="47"/>
      <c r="M105" s="47"/>
      <c r="N105" s="47"/>
      <c r="O105" s="71"/>
    </row>
    <row r="106" spans="1:15" s="18" customFormat="1" collapsed="1">
      <c r="A106" s="4"/>
      <c r="B106" s="538" t="s">
        <v>516</v>
      </c>
      <c r="C106" s="792"/>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517</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ht="14">
      <c r="A109" s="64"/>
      <c r="B109" s="606">
        <f>'1.  LRAMVA Summary'!B40</f>
        <v>0</v>
      </c>
      <c r="C109" s="791">
        <f>'2. LRAMVA Threshold'!Q43</f>
        <v>0</v>
      </c>
      <c r="D109" s="47"/>
      <c r="E109" s="47"/>
      <c r="F109" s="47"/>
      <c r="G109" s="47"/>
      <c r="H109" s="47"/>
      <c r="I109" s="47"/>
      <c r="J109" s="47"/>
      <c r="K109" s="47"/>
      <c r="L109" s="47"/>
      <c r="M109" s="47"/>
      <c r="N109" s="47"/>
      <c r="O109" s="71"/>
    </row>
    <row r="110" spans="1:15" s="18" customFormat="1" hidden="1" outlineLevel="1">
      <c r="A110" s="4"/>
      <c r="B110" s="538" t="s">
        <v>514</v>
      </c>
      <c r="C110" s="789"/>
      <c r="D110" s="47"/>
      <c r="E110" s="47"/>
      <c r="F110" s="47"/>
      <c r="G110" s="47"/>
      <c r="H110" s="47"/>
      <c r="I110" s="47"/>
      <c r="J110" s="47"/>
      <c r="K110" s="47"/>
      <c r="L110" s="47"/>
      <c r="M110" s="47"/>
      <c r="N110" s="47"/>
      <c r="O110" s="71"/>
    </row>
    <row r="111" spans="1:15" s="18" customFormat="1" hidden="1" outlineLevel="1">
      <c r="A111" s="4"/>
      <c r="B111" s="538" t="s">
        <v>515</v>
      </c>
      <c r="C111" s="789"/>
      <c r="D111" s="47"/>
      <c r="E111" s="47"/>
      <c r="F111" s="47"/>
      <c r="G111" s="47"/>
      <c r="H111" s="47"/>
      <c r="I111" s="47"/>
      <c r="J111" s="47"/>
      <c r="K111" s="47"/>
      <c r="L111" s="47"/>
      <c r="M111" s="47"/>
      <c r="N111" s="47"/>
      <c r="O111" s="71"/>
    </row>
    <row r="112" spans="1:15" s="18" customFormat="1" hidden="1" outlineLevel="1">
      <c r="A112" s="4"/>
      <c r="B112" s="538" t="s">
        <v>492</v>
      </c>
      <c r="C112" s="789"/>
      <c r="D112" s="47"/>
      <c r="E112" s="47"/>
      <c r="F112" s="47"/>
      <c r="G112" s="47"/>
      <c r="H112" s="47"/>
      <c r="I112" s="47"/>
      <c r="J112" s="47"/>
      <c r="K112" s="47"/>
      <c r="L112" s="47"/>
      <c r="M112" s="47"/>
      <c r="N112" s="47"/>
      <c r="O112" s="71"/>
    </row>
    <row r="113" spans="1:17" s="18" customFormat="1" collapsed="1">
      <c r="A113" s="4"/>
      <c r="B113" s="538" t="s">
        <v>516</v>
      </c>
      <c r="C113" s="792"/>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517</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
      <c r="A115" s="74"/>
      <c r="B115" s="76"/>
      <c r="C115" s="83"/>
      <c r="D115" s="77"/>
      <c r="E115" s="77"/>
      <c r="F115" s="77"/>
      <c r="G115" s="77"/>
      <c r="H115" s="77"/>
      <c r="I115" s="77"/>
      <c r="J115" s="77"/>
      <c r="K115" s="497"/>
      <c r="L115" s="498"/>
      <c r="M115" s="498"/>
      <c r="N115" s="498"/>
      <c r="O115" s="499"/>
    </row>
    <row r="116" spans="1:17" s="3" customFormat="1" ht="21" customHeight="1">
      <c r="A116" s="4"/>
      <c r="B116" s="500" t="s">
        <v>623</v>
      </c>
      <c r="C116" s="100"/>
      <c r="D116" s="501"/>
      <c r="E116" s="501"/>
      <c r="F116" s="501"/>
      <c r="G116" s="501"/>
      <c r="H116" s="501"/>
      <c r="I116" s="501"/>
      <c r="J116" s="501"/>
      <c r="K116" s="501"/>
      <c r="L116" s="501"/>
      <c r="M116" s="501"/>
      <c r="N116" s="501"/>
      <c r="O116" s="501"/>
    </row>
    <row r="119" spans="1:17" ht="15.5">
      <c r="B119" s="120" t="s">
        <v>486</v>
      </c>
      <c r="J119" s="18"/>
    </row>
    <row r="120" spans="1:17" s="14" customFormat="1" ht="55.5" customHeight="1">
      <c r="A120" s="74"/>
      <c r="B120" s="796" t="s">
        <v>625</v>
      </c>
      <c r="C120" s="796"/>
      <c r="D120" s="796"/>
      <c r="E120" s="796"/>
      <c r="F120" s="796"/>
      <c r="G120" s="796"/>
      <c r="H120" s="796"/>
      <c r="I120" s="796"/>
      <c r="J120" s="796"/>
      <c r="K120" s="796"/>
      <c r="L120" s="796"/>
      <c r="M120" s="796"/>
      <c r="N120" s="796"/>
      <c r="O120" s="796"/>
      <c r="P120" s="796"/>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 &gt; 50 to 4,999 Kw</v>
      </c>
      <c r="F122" s="246" t="str">
        <f>'1.  LRAMVA Summary'!G50</f>
        <v>Street Lighting</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kWh</v>
      </c>
      <c r="H123" s="588">
        <f>'1.  LRAMVA Summary'!I51</f>
        <v>0</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1.03E-2</v>
      </c>
      <c r="D124" s="684">
        <f>HLOOKUP(B124,$E$15:$O$114,16,FALSE)</f>
        <v>8.0999999999999996E-3</v>
      </c>
      <c r="E124" s="685">
        <f>HLOOKUP(B124,$E$15:$O$114,23,FALSE)</f>
        <v>1.3703000000000001</v>
      </c>
      <c r="F124" s="684">
        <f>HLOOKUP(B124,$E$15:$O$114,30,FALSE)</f>
        <v>25.779399999999999</v>
      </c>
      <c r="G124" s="685">
        <f>HLOOKUP(B124,$E$15:$O$114,37,FALSE)</f>
        <v>8.2000000000000007E-3</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1.04E-2</v>
      </c>
      <c r="D125" s="687">
        <f>HLOOKUP(B125,$E$15:$O$114,16,FALSE)</f>
        <v>8.2000000000000007E-3</v>
      </c>
      <c r="E125" s="688">
        <f>HLOOKUP(B125,$E$15:$O$114,23,FALSE)</f>
        <v>1.3792</v>
      </c>
      <c r="F125" s="687">
        <f>HLOOKUP(B125,$E$15:$O$114,30,FALSE)</f>
        <v>25.946100000000001</v>
      </c>
      <c r="G125" s="688">
        <f>HLOOKUP(B125,$E$15:$O$114,37,FALSE)</f>
        <v>8.3000000000000001E-3</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1.0699999999999999E-2</v>
      </c>
      <c r="D126" s="687">
        <f t="shared" ref="D126:D133" si="32">HLOOKUP(B126,$E$15:$O$114,16,FALSE)</f>
        <v>8.0999999999999996E-3</v>
      </c>
      <c r="E126" s="688">
        <f t="shared" ref="E126:E133" si="33">HLOOKUP(B126,$E$15:$O$114,23,FALSE)</f>
        <v>1.3580000000000001</v>
      </c>
      <c r="F126" s="687">
        <f t="shared" ref="F126:F133" si="34">HLOOKUP(B126,$E$15:$O$114,30,FALSE)</f>
        <v>25.462800000000001</v>
      </c>
      <c r="G126" s="688">
        <f t="shared" ref="G126:G132" si="35">HLOOKUP(B126,$E$15:$O$114,37,FALSE)</f>
        <v>8.3999999999999995E-3</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1.14E-2</v>
      </c>
      <c r="D127" s="687">
        <f>HLOOKUP(B127,$E$15:$O$114,16,FALSE)</f>
        <v>7.9000000000000008E-3</v>
      </c>
      <c r="E127" s="688">
        <f>HLOOKUP(B127,$E$15:$O$114,23,FALSE)</f>
        <v>1.2937000000000001</v>
      </c>
      <c r="F127" s="687">
        <f>HLOOKUP(B127,$E$15:$O$114,30,FALSE)</f>
        <v>26.136399999999998</v>
      </c>
      <c r="G127" s="688">
        <f>HLOOKUP(B127,$E$15:$O$114,37,FALSE)</f>
        <v>8.5000000000000006E-3</v>
      </c>
      <c r="H127" s="687">
        <f>HLOOKUP(B127,$E$15:$O$114,44,FALSE)</f>
        <v>0</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1.1599999999999999E-2</v>
      </c>
      <c r="D128" s="687">
        <f t="shared" si="32"/>
        <v>8.0000000000000002E-3</v>
      </c>
      <c r="E128" s="688">
        <f t="shared" si="33"/>
        <v>1.2978000000000001</v>
      </c>
      <c r="F128" s="687">
        <f t="shared" si="34"/>
        <v>27.266500000000001</v>
      </c>
      <c r="G128" s="688">
        <f t="shared" si="35"/>
        <v>8.6E-3</v>
      </c>
      <c r="H128" s="687">
        <f t="shared" si="36"/>
        <v>0</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9.7999999999999997E-3</v>
      </c>
      <c r="D129" s="687">
        <f t="shared" si="32"/>
        <v>8.0999999999999996E-3</v>
      </c>
      <c r="E129" s="688">
        <f t="shared" si="33"/>
        <v>1.3190999999999999</v>
      </c>
      <c r="F129" s="687">
        <f t="shared" si="34"/>
        <v>27.712199999999999</v>
      </c>
      <c r="G129" s="688">
        <f t="shared" si="35"/>
        <v>8.6999999999999994E-3</v>
      </c>
      <c r="H129" s="687">
        <f t="shared" si="36"/>
        <v>0</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7.0000000000000001E-3</v>
      </c>
      <c r="D130" s="687">
        <f t="shared" si="32"/>
        <v>8.2000000000000007E-3</v>
      </c>
      <c r="E130" s="688">
        <f t="shared" si="33"/>
        <v>1.341</v>
      </c>
      <c r="F130" s="687">
        <f t="shared" si="34"/>
        <v>28.1738</v>
      </c>
      <c r="G130" s="688">
        <f t="shared" si="35"/>
        <v>8.8999999999999999E-3</v>
      </c>
      <c r="H130" s="687">
        <f t="shared" si="36"/>
        <v>0</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642</v>
      </c>
      <c r="C134" s="600"/>
      <c r="D134" s="601"/>
      <c r="E134" s="602"/>
      <c r="F134" s="601"/>
      <c r="G134" s="601"/>
      <c r="H134" s="601"/>
      <c r="I134" s="601"/>
      <c r="J134" s="601"/>
      <c r="K134" s="601"/>
      <c r="L134" s="601"/>
      <c r="M134" s="601"/>
      <c r="N134" s="601"/>
      <c r="O134" s="601"/>
      <c r="P134" s="601"/>
    </row>
    <row r="136" spans="2:16">
      <c r="B136" s="594" t="s">
        <v>530</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21"/>
  <sheetViews>
    <sheetView topLeftCell="A8" zoomScaleNormal="100" workbookViewId="0">
      <selection activeCell="F26" sqref="F26"/>
    </sheetView>
  </sheetViews>
  <sheetFormatPr defaultColWidth="9.1796875" defaultRowHeight="14.5"/>
  <cols>
    <col min="1" max="16384" width="9.1796875" style="12"/>
  </cols>
  <sheetData>
    <row r="14" spans="2:24" ht="15.5">
      <c r="B14" s="590" t="s">
        <v>508</v>
      </c>
    </row>
    <row r="15" spans="2:24" ht="15.5">
      <c r="B15" s="590"/>
    </row>
    <row r="16" spans="2:24" s="670" customFormat="1" ht="28.5" customHeight="1">
      <c r="B16" s="797" t="s">
        <v>647</v>
      </c>
      <c r="C16" s="797"/>
      <c r="D16" s="797"/>
      <c r="E16" s="797"/>
      <c r="F16" s="797"/>
      <c r="G16" s="797"/>
      <c r="H16" s="797"/>
      <c r="I16" s="797"/>
      <c r="J16" s="797"/>
      <c r="K16" s="797"/>
      <c r="L16" s="797"/>
      <c r="M16" s="797"/>
      <c r="N16" s="797"/>
      <c r="O16" s="797"/>
      <c r="P16" s="797"/>
      <c r="Q16" s="797"/>
      <c r="R16" s="797"/>
      <c r="S16" s="797"/>
      <c r="T16" s="797"/>
      <c r="U16" s="797"/>
      <c r="V16" s="797"/>
      <c r="W16" s="797"/>
      <c r="X16" s="797"/>
    </row>
    <row r="18" spans="2:2">
      <c r="B18" s="12" t="s">
        <v>720</v>
      </c>
    </row>
    <row r="19" spans="2:2">
      <c r="B19" s="12" t="s">
        <v>722</v>
      </c>
    </row>
    <row r="20" spans="2:2">
      <c r="B20" s="12" t="s">
        <v>723</v>
      </c>
    </row>
    <row r="21" spans="2:2">
      <c r="B21" s="12" t="s">
        <v>721</v>
      </c>
    </row>
  </sheetData>
  <mergeCells count="1">
    <mergeCell ref="B16:X16"/>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81" zoomScale="70" zoomScaleNormal="70" zoomScaleSheetLayoutView="80" zoomScalePageLayoutView="85" workbookViewId="0">
      <selection activeCell="AM392" sqref="AM392"/>
    </sheetView>
  </sheetViews>
  <sheetFormatPr defaultColWidth="9.1796875" defaultRowHeight="14" outlineLevelRow="1" outlineLevelCol="1"/>
  <cols>
    <col min="1" max="1" width="4.7265625" style="511" customWidth="1"/>
    <col min="2" max="2" width="43.7265625" style="256" customWidth="1"/>
    <col min="3" max="3" width="14" style="256" customWidth="1"/>
    <col min="4" max="4" width="18.1796875" style="255" customWidth="1"/>
    <col min="5" max="8" width="10.453125" style="255" customWidth="1" outlineLevel="1"/>
    <col min="9" max="13" width="9.1796875" style="255" customWidth="1" outlineLevel="1"/>
    <col min="14" max="14" width="12.453125" style="255" customWidth="1" outlineLevel="1"/>
    <col min="15" max="15" width="17.54296875" style="255" customWidth="1"/>
    <col min="16" max="24" width="9.453125" style="255" customWidth="1" outlineLevel="1"/>
    <col min="25" max="25" width="14.1796875" style="257" customWidth="1"/>
    <col min="26" max="26" width="14.54296875" style="257" customWidth="1"/>
    <col min="27" max="27" width="16.81640625" style="257" customWidth="1"/>
    <col min="28" max="28" width="17.54296875" style="257" customWidth="1"/>
    <col min="29" max="35" width="14.54296875" style="257" customWidth="1"/>
    <col min="36" max="38" width="15" style="257" customWidth="1"/>
    <col min="39" max="39" width="14.26953125" style="258" customWidth="1"/>
    <col min="40" max="40" width="14.54296875" style="255" customWidth="1"/>
    <col min="41" max="41" width="14.81640625" style="255" customWidth="1"/>
    <col min="42" max="42" width="14" style="255" customWidth="1"/>
    <col min="43" max="43" width="9.7265625" style="255" customWidth="1"/>
    <col min="44" max="44" width="11.1796875" style="255" customWidth="1"/>
    <col min="45" max="45" width="12.1796875" style="255" customWidth="1"/>
    <col min="46" max="46" width="6.453125" style="255" bestFit="1" customWidth="1"/>
    <col min="47" max="51" width="9.1796875" style="255"/>
    <col min="52" max="52" width="6.453125" style="255" bestFit="1" customWidth="1"/>
    <col min="53" max="16384" width="9.1796875" style="255"/>
  </cols>
  <sheetData>
    <row r="1" spans="1:39" ht="164.25" customHeight="1"/>
    <row r="2" spans="1:39" ht="23.25" customHeight="1" thickBot="1"/>
    <row r="3" spans="1:39" ht="25.5" customHeight="1" thickBot="1">
      <c r="B3" s="811"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1"/>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793" t="s">
        <v>555</v>
      </c>
      <c r="D5" s="79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1" t="s">
        <v>508</v>
      </c>
      <c r="C7" s="810" t="s">
        <v>645</v>
      </c>
      <c r="D7" s="810"/>
      <c r="E7" s="810"/>
      <c r="F7" s="810"/>
      <c r="G7" s="810"/>
      <c r="H7" s="810"/>
      <c r="I7" s="810"/>
      <c r="J7" s="810"/>
      <c r="K7" s="810"/>
      <c r="L7" s="810"/>
      <c r="M7" s="810"/>
      <c r="N7" s="810"/>
      <c r="O7" s="810"/>
      <c r="P7" s="810"/>
      <c r="Q7" s="810"/>
      <c r="R7" s="810"/>
      <c r="S7" s="810"/>
      <c r="T7" s="810"/>
      <c r="U7" s="810"/>
      <c r="V7" s="810"/>
      <c r="W7" s="810"/>
      <c r="X7" s="810"/>
      <c r="Y7" s="608"/>
      <c r="Z7" s="608"/>
      <c r="AA7" s="608"/>
      <c r="AB7" s="608"/>
      <c r="AC7" s="608"/>
      <c r="AD7" s="608"/>
      <c r="AE7" s="272"/>
      <c r="AF7" s="272"/>
      <c r="AG7" s="272"/>
      <c r="AH7" s="272"/>
      <c r="AI7" s="272"/>
      <c r="AJ7" s="272"/>
      <c r="AK7" s="272"/>
      <c r="AL7" s="272"/>
    </row>
    <row r="8" spans="1:39" s="273" customFormat="1" ht="58.5" customHeight="1">
      <c r="A8" s="511"/>
      <c r="B8" s="811"/>
      <c r="C8" s="810" t="s">
        <v>577</v>
      </c>
      <c r="D8" s="810"/>
      <c r="E8" s="810"/>
      <c r="F8" s="810"/>
      <c r="G8" s="810"/>
      <c r="H8" s="810"/>
      <c r="I8" s="810"/>
      <c r="J8" s="810"/>
      <c r="K8" s="810"/>
      <c r="L8" s="810"/>
      <c r="M8" s="810"/>
      <c r="N8" s="810"/>
      <c r="O8" s="810"/>
      <c r="P8" s="810"/>
      <c r="Q8" s="810"/>
      <c r="R8" s="810"/>
      <c r="S8" s="810"/>
      <c r="T8" s="810"/>
      <c r="U8" s="810"/>
      <c r="V8" s="810"/>
      <c r="W8" s="810"/>
      <c r="X8" s="810"/>
      <c r="Y8" s="608"/>
      <c r="Z8" s="608"/>
      <c r="AA8" s="608"/>
      <c r="AB8" s="608"/>
      <c r="AC8" s="608"/>
      <c r="AD8" s="608"/>
      <c r="AE8" s="274"/>
      <c r="AF8" s="257"/>
      <c r="AG8" s="257"/>
      <c r="AH8" s="257"/>
      <c r="AI8" s="257"/>
      <c r="AJ8" s="257"/>
      <c r="AK8" s="257"/>
      <c r="AL8" s="257"/>
      <c r="AM8" s="258"/>
    </row>
    <row r="9" spans="1:39" s="273" customFormat="1" ht="57.75" customHeight="1">
      <c r="A9" s="511"/>
      <c r="B9" s="275"/>
      <c r="C9" s="810" t="s">
        <v>576</v>
      </c>
      <c r="D9" s="810"/>
      <c r="E9" s="810"/>
      <c r="F9" s="810"/>
      <c r="G9" s="810"/>
      <c r="H9" s="810"/>
      <c r="I9" s="810"/>
      <c r="J9" s="810"/>
      <c r="K9" s="810"/>
      <c r="L9" s="810"/>
      <c r="M9" s="810"/>
      <c r="N9" s="810"/>
      <c r="O9" s="810"/>
      <c r="P9" s="810"/>
      <c r="Q9" s="810"/>
      <c r="R9" s="810"/>
      <c r="S9" s="810"/>
      <c r="T9" s="810"/>
      <c r="U9" s="810"/>
      <c r="V9" s="810"/>
      <c r="W9" s="810"/>
      <c r="X9" s="810"/>
      <c r="Y9" s="608"/>
      <c r="Z9" s="608"/>
      <c r="AA9" s="608"/>
      <c r="AB9" s="608"/>
      <c r="AC9" s="608"/>
      <c r="AD9" s="608"/>
      <c r="AE9" s="274"/>
      <c r="AF9" s="257"/>
      <c r="AG9" s="257"/>
      <c r="AH9" s="257"/>
      <c r="AI9" s="257"/>
      <c r="AJ9" s="257"/>
      <c r="AK9" s="257"/>
      <c r="AL9" s="257"/>
      <c r="AM9" s="258"/>
    </row>
    <row r="10" spans="1:39" ht="41.25" customHeight="1">
      <c r="B10" s="277"/>
      <c r="C10" s="810" t="s">
        <v>648</v>
      </c>
      <c r="D10" s="810"/>
      <c r="E10" s="810"/>
      <c r="F10" s="810"/>
      <c r="G10" s="810"/>
      <c r="H10" s="810"/>
      <c r="I10" s="810"/>
      <c r="J10" s="810"/>
      <c r="K10" s="810"/>
      <c r="L10" s="810"/>
      <c r="M10" s="810"/>
      <c r="N10" s="810"/>
      <c r="O10" s="810"/>
      <c r="P10" s="810"/>
      <c r="Q10" s="810"/>
      <c r="R10" s="810"/>
      <c r="S10" s="810"/>
      <c r="T10" s="810"/>
      <c r="U10" s="810"/>
      <c r="V10" s="810"/>
      <c r="W10" s="810"/>
      <c r="X10" s="810"/>
      <c r="Y10" s="608"/>
      <c r="Z10" s="608"/>
      <c r="AA10" s="608"/>
      <c r="AB10" s="608"/>
      <c r="AC10" s="608"/>
      <c r="AD10" s="608"/>
      <c r="AE10" s="274"/>
      <c r="AF10" s="278"/>
      <c r="AG10" s="278"/>
      <c r="AH10" s="278"/>
      <c r="AI10" s="278"/>
      <c r="AJ10" s="278"/>
      <c r="AK10" s="278"/>
      <c r="AL10" s="278"/>
    </row>
    <row r="11" spans="1:39" ht="53.25" customHeight="1">
      <c r="C11" s="810" t="s">
        <v>631</v>
      </c>
      <c r="D11" s="810"/>
      <c r="E11" s="810"/>
      <c r="F11" s="810"/>
      <c r="G11" s="810"/>
      <c r="H11" s="810"/>
      <c r="I11" s="810"/>
      <c r="J11" s="810"/>
      <c r="K11" s="810"/>
      <c r="L11" s="810"/>
      <c r="M11" s="810"/>
      <c r="N11" s="810"/>
      <c r="O11" s="810"/>
      <c r="P11" s="810"/>
      <c r="Q11" s="810"/>
      <c r="R11" s="810"/>
      <c r="S11" s="810"/>
      <c r="T11" s="810"/>
      <c r="U11" s="810"/>
      <c r="V11" s="810"/>
      <c r="W11" s="810"/>
      <c r="X11" s="810"/>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1" t="s">
        <v>531</v>
      </c>
      <c r="C13" s="593" t="s">
        <v>526</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11"/>
      <c r="C14" s="593" t="s">
        <v>527</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528</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529</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5">
      <c r="B18" s="282" t="s">
        <v>242</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1" t="s">
        <v>212</v>
      </c>
      <c r="C19" s="803" t="s">
        <v>33</v>
      </c>
      <c r="D19" s="286" t="s">
        <v>424</v>
      </c>
      <c r="E19" s="805" t="s">
        <v>210</v>
      </c>
      <c r="F19" s="806"/>
      <c r="G19" s="806"/>
      <c r="H19" s="806"/>
      <c r="I19" s="806"/>
      <c r="J19" s="806"/>
      <c r="K19" s="806"/>
      <c r="L19" s="806"/>
      <c r="M19" s="807"/>
      <c r="N19" s="808" t="s">
        <v>214</v>
      </c>
      <c r="O19" s="286" t="s">
        <v>425</v>
      </c>
      <c r="P19" s="805" t="s">
        <v>213</v>
      </c>
      <c r="Q19" s="806"/>
      <c r="R19" s="806"/>
      <c r="S19" s="806"/>
      <c r="T19" s="806"/>
      <c r="U19" s="806"/>
      <c r="V19" s="806"/>
      <c r="W19" s="806"/>
      <c r="X19" s="807"/>
      <c r="Y19" s="798" t="s">
        <v>244</v>
      </c>
      <c r="Z19" s="799"/>
      <c r="AA19" s="799"/>
      <c r="AB19" s="799"/>
      <c r="AC19" s="799"/>
      <c r="AD19" s="799"/>
      <c r="AE19" s="799"/>
      <c r="AF19" s="799"/>
      <c r="AG19" s="799"/>
      <c r="AH19" s="799"/>
      <c r="AI19" s="799"/>
      <c r="AJ19" s="799"/>
      <c r="AK19" s="799"/>
      <c r="AL19" s="799"/>
      <c r="AM19" s="800"/>
    </row>
    <row r="20" spans="1:39" s="285" customFormat="1" ht="59.25" customHeight="1">
      <c r="A20" s="511"/>
      <c r="B20" s="802"/>
      <c r="C20" s="804"/>
      <c r="D20" s="287">
        <v>2011</v>
      </c>
      <c r="E20" s="287">
        <v>2012</v>
      </c>
      <c r="F20" s="287">
        <v>2013</v>
      </c>
      <c r="G20" s="287">
        <v>2014</v>
      </c>
      <c r="H20" s="287">
        <v>2015</v>
      </c>
      <c r="I20" s="287">
        <v>2016</v>
      </c>
      <c r="J20" s="287">
        <v>2017</v>
      </c>
      <c r="K20" s="287">
        <v>2018</v>
      </c>
      <c r="L20" s="287">
        <v>2019</v>
      </c>
      <c r="M20" s="287">
        <v>2020</v>
      </c>
      <c r="N20" s="809"/>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&gt; 50 to 4,999 Kw</v>
      </c>
      <c r="AB20" s="288" t="str">
        <f>'1.  LRAMVA Summary'!G50</f>
        <v>Street Lighting</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13344</v>
      </c>
      <c r="E22" s="297">
        <f>'7.  Persistence Report'!AR28</f>
        <v>13343.589992032805</v>
      </c>
      <c r="F22" s="297">
        <f>'7.  Persistence Report'!AS28</f>
        <v>13343.589992032805</v>
      </c>
      <c r="G22" s="297">
        <f>'7.  Persistence Report'!AT28</f>
        <v>13141.661322574084</v>
      </c>
      <c r="H22" s="297">
        <f>'7.  Persistence Report'!AU28</f>
        <v>10116.675836750601</v>
      </c>
      <c r="I22" s="297">
        <v>0</v>
      </c>
      <c r="J22" s="297">
        <v>0</v>
      </c>
      <c r="K22" s="297">
        <v>0</v>
      </c>
      <c r="L22" s="297">
        <v>0</v>
      </c>
      <c r="M22" s="297">
        <v>0</v>
      </c>
      <c r="N22" s="293"/>
      <c r="O22" s="297">
        <v>2</v>
      </c>
      <c r="P22" s="297">
        <f>'7.  Persistence Report'!M28</f>
        <v>2.0788510457420246</v>
      </c>
      <c r="Q22" s="297">
        <f>'7.  Persistence Report'!N28</f>
        <v>2.0788510457420246</v>
      </c>
      <c r="R22" s="297">
        <f>'7.  Persistence Report'!O28</f>
        <v>1.853044312366948</v>
      </c>
      <c r="S22" s="297">
        <f>'7.  Persistence Report'!P28</f>
        <v>1.3301377402162864</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5" outlineLevel="1">
      <c r="A25" s="511">
        <v>2</v>
      </c>
      <c r="B25" s="296" t="s">
        <v>2</v>
      </c>
      <c r="C25" s="293" t="s">
        <v>25</v>
      </c>
      <c r="D25" s="297">
        <v>113</v>
      </c>
      <c r="E25" s="297">
        <f>'7.  Persistence Report'!AR27</f>
        <v>112.92648344430117</v>
      </c>
      <c r="F25" s="297">
        <f>'7.  Persistence Report'!AS27</f>
        <v>112.92648344430117</v>
      </c>
      <c r="G25" s="297">
        <f>'7.  Persistence Report'!AT27</f>
        <v>47.860878296941074</v>
      </c>
      <c r="H25" s="297">
        <v>0</v>
      </c>
      <c r="I25" s="297">
        <v>0</v>
      </c>
      <c r="J25" s="297">
        <v>0</v>
      </c>
      <c r="K25" s="297">
        <v>0</v>
      </c>
      <c r="L25" s="297">
        <v>0</v>
      </c>
      <c r="M25" s="297">
        <v>0</v>
      </c>
      <c r="N25" s="293"/>
      <c r="O25" s="297"/>
      <c r="P25" s="297"/>
      <c r="Q25" s="297"/>
      <c r="R25" s="297"/>
      <c r="S25" s="297"/>
      <c r="T25" s="297"/>
      <c r="U25" s="297"/>
      <c r="V25" s="297"/>
      <c r="W25" s="297"/>
      <c r="X25" s="297"/>
      <c r="Y25" s="412">
        <v>1</v>
      </c>
      <c r="Z25" s="412"/>
      <c r="AA25" s="412"/>
      <c r="AB25" s="412"/>
      <c r="AC25" s="412"/>
      <c r="AD25" s="412"/>
      <c r="AE25" s="412"/>
      <c r="AF25" s="412"/>
      <c r="AG25" s="412"/>
      <c r="AH25" s="412"/>
      <c r="AI25" s="412"/>
      <c r="AJ25" s="412"/>
      <c r="AK25" s="412"/>
      <c r="AL25" s="412"/>
      <c r="AM25" s="298">
        <f>SUM(Y25:AL25)</f>
        <v>1</v>
      </c>
    </row>
    <row r="26" spans="1:39" s="285" customFormat="1" ht="15.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5" outlineLevel="1">
      <c r="A28" s="511">
        <v>3</v>
      </c>
      <c r="B28" s="296" t="s">
        <v>3</v>
      </c>
      <c r="C28" s="293" t="s">
        <v>25</v>
      </c>
      <c r="D28" s="297">
        <v>1408</v>
      </c>
      <c r="E28" s="297">
        <f>'7.  Persistence Report'!AR36</f>
        <v>1408.0164354835238</v>
      </c>
      <c r="F28" s="297">
        <f>'7.  Persistence Report'!AS36</f>
        <v>1408.0164354835238</v>
      </c>
      <c r="G28" s="297">
        <f>'7.  Persistence Report'!AT36</f>
        <v>1408.0164354835238</v>
      </c>
      <c r="H28" s="297">
        <f>'7.  Persistence Report'!AU36</f>
        <v>1408.0164354835238</v>
      </c>
      <c r="I28" s="297">
        <f>'7.  Persistence Report'!AV36</f>
        <v>1408.0164354835238</v>
      </c>
      <c r="J28" s="297">
        <f>'7.  Persistence Report'!AW36</f>
        <v>1408.0164354835238</v>
      </c>
      <c r="K28" s="297">
        <f>'7.  Persistence Report'!AX36</f>
        <v>1408.0164354835238</v>
      </c>
      <c r="L28" s="297">
        <f>'7.  Persistence Report'!AY36</f>
        <v>1408.0164354835238</v>
      </c>
      <c r="M28" s="297">
        <f>'7.  Persistence Report'!AZ36</f>
        <v>1408.0164354835238</v>
      </c>
      <c r="N28" s="293"/>
      <c r="O28" s="297">
        <v>1</v>
      </c>
      <c r="P28" s="297">
        <f>'7.  Persistence Report'!M36</f>
        <v>0.71595642664905335</v>
      </c>
      <c r="Q28" s="297">
        <f>'7.  Persistence Report'!N36</f>
        <v>0.71595642664905335</v>
      </c>
      <c r="R28" s="297">
        <f>'7.  Persistence Report'!O36</f>
        <v>0.71595642664905335</v>
      </c>
      <c r="S28" s="297">
        <f>'7.  Persistence Report'!P36</f>
        <v>0.71595642664905335</v>
      </c>
      <c r="T28" s="297">
        <f>'7.  Persistence Report'!Q36</f>
        <v>0.71595642664905335</v>
      </c>
      <c r="U28" s="297">
        <f>'7.  Persistence Report'!R36</f>
        <v>0.71595642664905335</v>
      </c>
      <c r="V28" s="297">
        <f>'7.  Persistence Report'!S36</f>
        <v>0.71595642664905335</v>
      </c>
      <c r="W28" s="297">
        <f>'7.  Persistence Report'!T36</f>
        <v>0.71595642664905335</v>
      </c>
      <c r="X28" s="297">
        <f>'7.  Persistence Report'!U36</f>
        <v>0.71595642664905335</v>
      </c>
      <c r="Y28" s="412">
        <v>1</v>
      </c>
      <c r="Z28" s="412"/>
      <c r="AA28" s="412"/>
      <c r="AB28" s="412"/>
      <c r="AC28" s="412"/>
      <c r="AD28" s="412"/>
      <c r="AE28" s="412"/>
      <c r="AF28" s="412"/>
      <c r="AG28" s="412"/>
      <c r="AH28" s="412"/>
      <c r="AI28" s="412"/>
      <c r="AJ28" s="412"/>
      <c r="AK28" s="412"/>
      <c r="AL28" s="412"/>
      <c r="AM28" s="298">
        <f>SUM(Y28:AL28)</f>
        <v>1</v>
      </c>
    </row>
    <row r="29" spans="1:39" s="285" customFormat="1" ht="15.5" outlineLevel="1">
      <c r="A29" s="511"/>
      <c r="B29" s="296" t="s">
        <v>215</v>
      </c>
      <c r="C29" s="293" t="s">
        <v>164</v>
      </c>
      <c r="D29" s="297">
        <v>-146</v>
      </c>
      <c r="E29" s="297">
        <f>'7.  Persistence Report'!AR37</f>
        <v>-145.74320761595263</v>
      </c>
      <c r="F29" s="297">
        <f>'7.  Persistence Report'!AS37</f>
        <v>-145.74320761595263</v>
      </c>
      <c r="G29" s="297">
        <f>'7.  Persistence Report'!AT37</f>
        <v>-145.74320761595263</v>
      </c>
      <c r="H29" s="297">
        <f>'7.  Persistence Report'!AU37</f>
        <v>-145.74320761595263</v>
      </c>
      <c r="I29" s="297">
        <f>'7.  Persistence Report'!AV37</f>
        <v>-145.74320761595263</v>
      </c>
      <c r="J29" s="297">
        <f>'7.  Persistence Report'!AW37</f>
        <v>-145.74320761595263</v>
      </c>
      <c r="K29" s="297">
        <f>'7.  Persistence Report'!AX37</f>
        <v>-145.74320761595263</v>
      </c>
      <c r="L29" s="297">
        <f>'7.  Persistence Report'!AY37</f>
        <v>-145.74320761595263</v>
      </c>
      <c r="M29" s="297">
        <f>'7.  Persistence Report'!AZ37</f>
        <v>-145.74320761595263</v>
      </c>
      <c r="N29" s="470"/>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5" outlineLevel="1">
      <c r="A31" s="511">
        <v>4</v>
      </c>
      <c r="B31" s="296" t="s">
        <v>4</v>
      </c>
      <c r="C31" s="293" t="s">
        <v>25</v>
      </c>
      <c r="D31" s="297">
        <v>15771</v>
      </c>
      <c r="E31" s="297">
        <f>'7.  Persistence Report'!AR31</f>
        <v>15770.737320741542</v>
      </c>
      <c r="F31" s="297">
        <f>'7.  Persistence Report'!AS31</f>
        <v>15770.737320741542</v>
      </c>
      <c r="G31" s="297">
        <f>'7.  Persistence Report'!AT31</f>
        <v>15770.737320741542</v>
      </c>
      <c r="H31" s="297">
        <f>'7.  Persistence Report'!AU31</f>
        <v>14518.895693484235</v>
      </c>
      <c r="I31" s="297">
        <f>'7.  Persistence Report'!AV31</f>
        <v>13151.31144696384</v>
      </c>
      <c r="J31" s="297">
        <f>'7.  Persistence Report'!AW31</f>
        <v>10316.066042429868</v>
      </c>
      <c r="K31" s="297">
        <f>'7.  Persistence Report'!AX31</f>
        <v>10250.11172090342</v>
      </c>
      <c r="L31" s="297">
        <f>'7.  Persistence Report'!AY31</f>
        <v>12869.537594681124</v>
      </c>
      <c r="M31" s="297">
        <f>'7.  Persistence Report'!AZ31</f>
        <v>5007.5770889573914</v>
      </c>
      <c r="N31" s="293"/>
      <c r="O31" s="297">
        <v>1</v>
      </c>
      <c r="P31" s="297">
        <f>'7.  Persistence Report'!M31</f>
        <v>0.96713611739315808</v>
      </c>
      <c r="Q31" s="297">
        <f>'7.  Persistence Report'!N31</f>
        <v>0.96713611739315808</v>
      </c>
      <c r="R31" s="297">
        <f>'7.  Persistence Report'!O31</f>
        <v>0.96713611739315808</v>
      </c>
      <c r="S31" s="297">
        <f>'7.  Persistence Report'!P31</f>
        <v>0.90917215698942377</v>
      </c>
      <c r="T31" s="297">
        <f>'7.  Persistence Report'!Q31</f>
        <v>0.84584897186116192</v>
      </c>
      <c r="U31" s="297">
        <f>'7.  Persistence Report'!R31</f>
        <v>0.71456874536530879</v>
      </c>
      <c r="V31" s="297">
        <f>'7.  Persistence Report'!S31</f>
        <v>0.70703971322758641</v>
      </c>
      <c r="W31" s="297">
        <f>'7.  Persistence Report'!T31</f>
        <v>0.82832685875958245</v>
      </c>
      <c r="X31" s="297">
        <f>'7.  Persistence Report'!U31</f>
        <v>0.46429489375142036</v>
      </c>
      <c r="Y31" s="412">
        <v>1</v>
      </c>
      <c r="Z31" s="412"/>
      <c r="AA31" s="412"/>
      <c r="AB31" s="412"/>
      <c r="AC31" s="412"/>
      <c r="AD31" s="412"/>
      <c r="AE31" s="412"/>
      <c r="AF31" s="412"/>
      <c r="AG31" s="412"/>
      <c r="AH31" s="412"/>
      <c r="AI31" s="412"/>
      <c r="AJ31" s="412"/>
      <c r="AK31" s="412"/>
      <c r="AL31" s="412"/>
      <c r="AM31" s="298">
        <f>SUM(Y31:AL31)</f>
        <v>1</v>
      </c>
    </row>
    <row r="32" spans="1:39" s="285" customFormat="1" ht="15.5" outlineLevel="1">
      <c r="A32" s="511"/>
      <c r="B32" s="296" t="s">
        <v>215</v>
      </c>
      <c r="C32" s="293" t="s">
        <v>164</v>
      </c>
      <c r="D32" s="297">
        <v>232</v>
      </c>
      <c r="E32" s="297">
        <f>'7.  Persistence Report'!AR32</f>
        <v>231.689431189977</v>
      </c>
      <c r="F32" s="297">
        <f>'7.  Persistence Report'!AS32</f>
        <v>231.689431189977</v>
      </c>
      <c r="G32" s="297">
        <f>'7.  Persistence Report'!AT32</f>
        <v>231.689431189977</v>
      </c>
      <c r="H32" s="297">
        <f>'7.  Persistence Report'!AU32</f>
        <v>231.689431189977</v>
      </c>
      <c r="I32" s="297">
        <f>'7.  Persistence Report'!AV32</f>
        <v>211.69017996293795</v>
      </c>
      <c r="J32" s="297">
        <f>'7.  Persistence Report'!AW32</f>
        <v>129.87009539698573</v>
      </c>
      <c r="K32" s="297">
        <f>'7.  Persistence Report'!AX32</f>
        <v>129.69327415964941</v>
      </c>
      <c r="L32" s="297">
        <f>'7.  Persistence Report'!AY32</f>
        <v>129.69327415964941</v>
      </c>
      <c r="M32" s="297">
        <f>'7.  Persistence Report'!AZ32</f>
        <v>45.939255370185691</v>
      </c>
      <c r="N32" s="470"/>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5" outlineLevel="1">
      <c r="A34" s="511">
        <v>5</v>
      </c>
      <c r="B34" s="296" t="s">
        <v>5</v>
      </c>
      <c r="C34" s="293" t="s">
        <v>25</v>
      </c>
      <c r="D34" s="297">
        <v>24700</v>
      </c>
      <c r="E34" s="297">
        <f>'7.  Persistence Report'!AR29</f>
        <v>24700.304699847838</v>
      </c>
      <c r="F34" s="297">
        <f>'7.  Persistence Report'!AS29</f>
        <v>24700.304699847838</v>
      </c>
      <c r="G34" s="297">
        <f>'7.  Persistence Report'!AT29</f>
        <v>24700.304699847838</v>
      </c>
      <c r="H34" s="297">
        <f>'7.  Persistence Report'!AU29</f>
        <v>22574.25944631996</v>
      </c>
      <c r="I34" s="297">
        <f>'7.  Persistence Report'!AV29</f>
        <v>20251.644562131762</v>
      </c>
      <c r="J34" s="297">
        <f>'7.  Persistence Report'!AW29</f>
        <v>15268.448989731694</v>
      </c>
      <c r="K34" s="297">
        <f>'7.  Persistence Report'!AX29</f>
        <v>15212.750299970754</v>
      </c>
      <c r="L34" s="297">
        <f>'7.  Persistence Report'!AY29</f>
        <v>19661.410437686831</v>
      </c>
      <c r="M34" s="297">
        <f>'7.  Persistence Report'!AZ29</f>
        <v>6309.1752565971346</v>
      </c>
      <c r="N34" s="293"/>
      <c r="O34" s="297">
        <v>1</v>
      </c>
      <c r="P34" s="297">
        <f>'7.  Persistence Report'!M29</f>
        <v>1.4132902044704729</v>
      </c>
      <c r="Q34" s="297">
        <f>'7.  Persistence Report'!N29</f>
        <v>1.4132902044704729</v>
      </c>
      <c r="R34" s="297">
        <f>'7.  Persistence Report'!O29</f>
        <v>1.4132902044704729</v>
      </c>
      <c r="S34" s="297">
        <f>'7.  Persistence Report'!P29</f>
        <v>1.314848037179684</v>
      </c>
      <c r="T34" s="297">
        <f>'7.  Persistence Report'!Q29</f>
        <v>1.2073041160886684</v>
      </c>
      <c r="U34" s="297">
        <f>'7.  Persistence Report'!R29</f>
        <v>0.97656746014641405</v>
      </c>
      <c r="V34" s="297">
        <f>'7.  Persistence Report'!S29</f>
        <v>0.9702091622284984</v>
      </c>
      <c r="W34" s="297">
        <f>'7.  Persistence Report'!T29</f>
        <v>1.1761952506103031</v>
      </c>
      <c r="X34" s="297">
        <f>'7.  Persistence Report'!U29</f>
        <v>0.55794737125698979</v>
      </c>
      <c r="Y34" s="412">
        <v>1</v>
      </c>
      <c r="Z34" s="412"/>
      <c r="AA34" s="412"/>
      <c r="AB34" s="412"/>
      <c r="AC34" s="412"/>
      <c r="AD34" s="412"/>
      <c r="AE34" s="412"/>
      <c r="AF34" s="412"/>
      <c r="AG34" s="412"/>
      <c r="AH34" s="412"/>
      <c r="AI34" s="412"/>
      <c r="AJ34" s="412"/>
      <c r="AK34" s="412"/>
      <c r="AL34" s="412"/>
      <c r="AM34" s="298">
        <f>SUM(Y34:AL34)</f>
        <v>1</v>
      </c>
    </row>
    <row r="35" spans="1:39" s="285" customFormat="1" ht="15.5" outlineLevel="1">
      <c r="A35" s="511"/>
      <c r="B35" s="296" t="s">
        <v>215</v>
      </c>
      <c r="C35" s="293" t="s">
        <v>164</v>
      </c>
      <c r="D35" s="297">
        <v>1835</v>
      </c>
      <c r="E35" s="297">
        <f>'7.  Persistence Report'!AR30</f>
        <v>1835.1501569101656</v>
      </c>
      <c r="F35" s="297">
        <f>'7.  Persistence Report'!AS30</f>
        <v>1835.1501569101656</v>
      </c>
      <c r="G35" s="297">
        <f>'7.  Persistence Report'!AT30</f>
        <v>1835.1501569101656</v>
      </c>
      <c r="H35" s="297">
        <f>'7.  Persistence Report'!AU30</f>
        <v>1835.1501569101656</v>
      </c>
      <c r="I35" s="297">
        <f>'7.  Persistence Report'!AV30</f>
        <v>1667.6254725204228</v>
      </c>
      <c r="J35" s="297">
        <f>'7.  Persistence Report'!AW30</f>
        <v>900.33290790587284</v>
      </c>
      <c r="K35" s="297">
        <f>'7.  Persistence Report'!AX30</f>
        <v>900.14948783191562</v>
      </c>
      <c r="L35" s="297">
        <f>'7.  Persistence Report'!AY30</f>
        <v>900.14948783191562</v>
      </c>
      <c r="M35" s="297">
        <f>'7.  Persistence Report'!AZ30</f>
        <v>198.57994381280255</v>
      </c>
      <c r="N35" s="470"/>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5" outlineLevel="1">
      <c r="A43" s="511">
        <v>8</v>
      </c>
      <c r="B43" s="296" t="s">
        <v>487</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5" outlineLevel="1">
      <c r="A50" s="511">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5" outlineLevel="1">
      <c r="A53" s="511">
        <v>11</v>
      </c>
      <c r="B53" s="316" t="s">
        <v>21</v>
      </c>
      <c r="C53" s="293" t="s">
        <v>25</v>
      </c>
      <c r="D53" s="297">
        <v>5986</v>
      </c>
      <c r="E53" s="297">
        <f>'7.  Persistence Report'!AR33</f>
        <v>5986.3738864668394</v>
      </c>
      <c r="F53" s="297">
        <f>'7.  Persistence Report'!AS33</f>
        <v>5986.3738864668394</v>
      </c>
      <c r="G53" s="297">
        <f>'7.  Persistence Report'!AT33</f>
        <v>5986.3738864668394</v>
      </c>
      <c r="H53" s="297">
        <f>'7.  Persistence Report'!AU33</f>
        <v>5986.3738864668394</v>
      </c>
      <c r="I53" s="297">
        <f>'7.  Persistence Report'!AV33</f>
        <v>5986.3738864668394</v>
      </c>
      <c r="J53" s="297">
        <f>'7.  Persistence Report'!AW33</f>
        <v>927.78337474374803</v>
      </c>
      <c r="K53" s="297">
        <f>'7.  Persistence Report'!AX33</f>
        <v>927.78337474374803</v>
      </c>
      <c r="L53" s="297">
        <f>'7.  Persistence Report'!AY33</f>
        <v>927.78337474374803</v>
      </c>
      <c r="M53" s="297">
        <f>'7.  Persistence Report'!AZ33</f>
        <v>927.78337474374803</v>
      </c>
      <c r="N53" s="297">
        <v>12</v>
      </c>
      <c r="O53" s="297">
        <v>2</v>
      </c>
      <c r="P53" s="297">
        <f>'7.  Persistence Report'!M33</f>
        <v>2.4160712191013309</v>
      </c>
      <c r="Q53" s="297">
        <f>'7.  Persistence Report'!N33</f>
        <v>2.4160712191013309</v>
      </c>
      <c r="R53" s="297">
        <f>'7.  Persistence Report'!O33</f>
        <v>2.4160712191013309</v>
      </c>
      <c r="S53" s="297">
        <f>'7.  Persistence Report'!P33</f>
        <v>2.4160712191013309</v>
      </c>
      <c r="T53" s="297">
        <f>'7.  Persistence Report'!Q33</f>
        <v>2.4160712191013309</v>
      </c>
      <c r="U53" s="297">
        <f>'7.  Persistence Report'!R33</f>
        <v>0.37445071349925246</v>
      </c>
      <c r="V53" s="297">
        <f>'7.  Persistence Report'!S33</f>
        <v>0.37445071349925246</v>
      </c>
      <c r="W53" s="297">
        <f>'7.  Persistence Report'!T33</f>
        <v>0.37445071349925246</v>
      </c>
      <c r="X53" s="297">
        <f>'7.  Persistence Report'!U33</f>
        <v>0.37445071349925246</v>
      </c>
      <c r="Y53" s="417"/>
      <c r="Z53" s="417">
        <v>1</v>
      </c>
      <c r="AA53" s="417"/>
      <c r="AB53" s="417"/>
      <c r="AC53" s="417"/>
      <c r="AD53" s="417"/>
      <c r="AE53" s="417"/>
      <c r="AF53" s="417"/>
      <c r="AG53" s="417"/>
      <c r="AH53" s="417"/>
      <c r="AI53" s="417"/>
      <c r="AJ53" s="417"/>
      <c r="AK53" s="417"/>
      <c r="AL53" s="417"/>
      <c r="AM53" s="298">
        <f>SUM(Y53:AL53)</f>
        <v>1</v>
      </c>
    </row>
    <row r="54" spans="1:42" s="285" customFormat="1" ht="15.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5" outlineLevel="1">
      <c r="A65" s="511">
        <v>15</v>
      </c>
      <c r="B65" s="316" t="s">
        <v>488</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1" outlineLevel="1">
      <c r="A68" s="511">
        <v>16</v>
      </c>
      <c r="B68" s="316" t="s">
        <v>489</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5" outlineLevel="1">
      <c r="A94" s="512"/>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5" outlineLevel="1">
      <c r="A105" s="511">
        <v>27</v>
      </c>
      <c r="B105" s="323" t="s">
        <v>17</v>
      </c>
      <c r="C105" s="293" t="s">
        <v>25</v>
      </c>
      <c r="D105" s="297">
        <v>174</v>
      </c>
      <c r="E105" s="297">
        <f>'7.  Persistence Report'!AR34</f>
        <v>174.09298651494277</v>
      </c>
      <c r="F105" s="297">
        <f>'7.  Persistence Report'!AS34</f>
        <v>174.09298651494277</v>
      </c>
      <c r="G105" s="297">
        <f>'7.  Persistence Report'!AT34</f>
        <v>174.09298651494277</v>
      </c>
      <c r="H105" s="297">
        <f>'7.  Persistence Report'!AU34</f>
        <v>174.09298651494277</v>
      </c>
      <c r="I105" s="297">
        <f>'7.  Persistence Report'!AV34</f>
        <v>174.09298651494277</v>
      </c>
      <c r="J105" s="297">
        <f>'7.  Persistence Report'!AW34</f>
        <v>174.09298651494277</v>
      </c>
      <c r="K105" s="297">
        <f>'7.  Persistence Report'!AX34</f>
        <v>174.09298651494277</v>
      </c>
      <c r="L105" s="297">
        <f>'7.  Persistence Report'!AY34</f>
        <v>174.09298651494277</v>
      </c>
      <c r="M105" s="297">
        <f>'7.  Persistence Report'!AZ34</f>
        <v>174.09298651494277</v>
      </c>
      <c r="N105" s="297">
        <v>12</v>
      </c>
      <c r="O105" s="297"/>
      <c r="P105" s="297"/>
      <c r="Q105" s="297"/>
      <c r="R105" s="297"/>
      <c r="S105" s="297"/>
      <c r="T105" s="297"/>
      <c r="U105" s="297"/>
      <c r="V105" s="297"/>
      <c r="W105" s="297"/>
      <c r="X105" s="297"/>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5" outlineLevel="1">
      <c r="A114" s="511">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5" outlineLevel="1">
      <c r="A117" s="511"/>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5" outlineLevel="1">
      <c r="A118" s="511">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5" outlineLevel="1">
      <c r="A121" s="511">
        <v>32</v>
      </c>
      <c r="B121" s="326" t="s">
        <v>494</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5" outlineLevel="1">
      <c r="A124" s="511">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5">
      <c r="A127" s="511"/>
      <c r="B127" s="329" t="s">
        <v>238</v>
      </c>
      <c r="C127" s="330"/>
      <c r="D127" s="330">
        <f>SUM(D22:D125)</f>
        <v>63417</v>
      </c>
      <c r="E127" s="330"/>
      <c r="F127" s="330"/>
      <c r="G127" s="330"/>
      <c r="H127" s="330"/>
      <c r="I127" s="330"/>
      <c r="J127" s="330"/>
      <c r="K127" s="330"/>
      <c r="L127" s="330"/>
      <c r="M127" s="330"/>
      <c r="N127" s="330"/>
      <c r="O127" s="330">
        <f>SUM(O22:O125)</f>
        <v>7</v>
      </c>
      <c r="P127" s="330"/>
      <c r="Q127" s="330"/>
      <c r="R127" s="330"/>
      <c r="S127" s="330"/>
      <c r="T127" s="330"/>
      <c r="U127" s="330"/>
      <c r="V127" s="330"/>
      <c r="W127" s="330"/>
      <c r="X127" s="330"/>
      <c r="Y127" s="331">
        <f>IF(Y21="kWh",SUMPRODUCT(D22:D125,Y22:Y125))</f>
        <v>57257</v>
      </c>
      <c r="Z127" s="331">
        <f>IF(Z21="kWh",SUMPRODUCT(D22:D125,Z22:Z125))</f>
        <v>5986</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1.03E-2</v>
      </c>
      <c r="Z130" s="343">
        <f>HLOOKUP(Z$20,'3.  Distribution Rates'!$C$122:$P$133,3,FALSE)</f>
        <v>8.0999999999999996E-3</v>
      </c>
      <c r="AA130" s="343">
        <f>HLOOKUP(AA$20,'3.  Distribution Rates'!$C$122:$P$133,3,FALSE)</f>
        <v>1.3703000000000001</v>
      </c>
      <c r="AB130" s="343">
        <f>HLOOKUP(AB$20,'3.  Distribution Rates'!$C$122:$P$133,3,FALSE)</f>
        <v>25.779399999999999</v>
      </c>
      <c r="AC130" s="343">
        <f>HLOOKUP(AC$20,'3.  Distribution Rates'!$C$122:$P$133,3,FALSE)</f>
        <v>8.2000000000000007E-3</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589.74710000000005</v>
      </c>
      <c r="Z131" s="348">
        <f t="shared" si="33"/>
        <v>48.486599999999996</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638.2337</v>
      </c>
    </row>
    <row r="132" spans="1:40" s="305" customFormat="1" ht="15.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638.2337</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57256.671312034203</v>
      </c>
      <c r="Z135" s="293">
        <f>SUMPRODUCT(E22:E125,Z22:Z125)</f>
        <v>5986.3738864668394</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57256.671312034203</v>
      </c>
      <c r="Z136" s="293">
        <f>SUMPRODUCT(F22:F125,Z22:Z125)</f>
        <v>5986.3738864668394</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56989.677037428119</v>
      </c>
      <c r="Z137" s="293">
        <f>SUMPRODUCT(G22:G125,Z22:Z125)</f>
        <v>5986.3738864668394</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50538.943792522514</v>
      </c>
      <c r="Z138" s="293">
        <f>SUMPRODUCT(H22:H125,Z22:Z125)</f>
        <v>5986.3738864668394</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36544.54488944653</v>
      </c>
      <c r="Z139" s="293">
        <f>SUMPRODUCT(I22:I125,Z22:Z125)</f>
        <v>5986.3738864668394</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27876.991263331987</v>
      </c>
      <c r="Z140" s="293">
        <f>SUMPRODUCT(J22:J125,Z22:Z125)</f>
        <v>927.78337474374803</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27754.978010733314</v>
      </c>
      <c r="Z141" s="293">
        <f>SUMPRODUCT(K22:K125,Z22:Z125)</f>
        <v>927.78337474374803</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34823.064022227089</v>
      </c>
      <c r="Z142" s="293">
        <f>SUMPRODUCT(L22:L125,Z22:Z125)</f>
        <v>927.78337474374803</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12823.544772605086</v>
      </c>
      <c r="Z143" s="328">
        <f>SUMPRODUCT(M22:M125,Z22:Z125)</f>
        <v>927.78337474374803</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5">
      <c r="B146" s="282" t="s">
        <v>243</v>
      </c>
      <c r="C146" s="283"/>
      <c r="D146" s="592" t="s">
        <v>530</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1" t="s">
        <v>212</v>
      </c>
      <c r="C147" s="803" t="s">
        <v>33</v>
      </c>
      <c r="D147" s="286" t="s">
        <v>424</v>
      </c>
      <c r="E147" s="805" t="s">
        <v>210</v>
      </c>
      <c r="F147" s="806"/>
      <c r="G147" s="806"/>
      <c r="H147" s="806"/>
      <c r="I147" s="806"/>
      <c r="J147" s="806"/>
      <c r="K147" s="806"/>
      <c r="L147" s="806"/>
      <c r="M147" s="807"/>
      <c r="N147" s="808" t="s">
        <v>214</v>
      </c>
      <c r="O147" s="286" t="s">
        <v>425</v>
      </c>
      <c r="P147" s="805" t="s">
        <v>213</v>
      </c>
      <c r="Q147" s="806"/>
      <c r="R147" s="806"/>
      <c r="S147" s="806"/>
      <c r="T147" s="806"/>
      <c r="U147" s="806"/>
      <c r="V147" s="806"/>
      <c r="W147" s="806"/>
      <c r="X147" s="807"/>
      <c r="Y147" s="798" t="s">
        <v>244</v>
      </c>
      <c r="Z147" s="799"/>
      <c r="AA147" s="799"/>
      <c r="AB147" s="799"/>
      <c r="AC147" s="799"/>
      <c r="AD147" s="799"/>
      <c r="AE147" s="799"/>
      <c r="AF147" s="799"/>
      <c r="AG147" s="799"/>
      <c r="AH147" s="799"/>
      <c r="AI147" s="799"/>
      <c r="AJ147" s="799"/>
      <c r="AK147" s="799"/>
      <c r="AL147" s="799"/>
      <c r="AM147" s="800"/>
    </row>
    <row r="148" spans="1:39" ht="60.75" customHeight="1">
      <c r="B148" s="802"/>
      <c r="C148" s="804"/>
      <c r="D148" s="287">
        <v>2012</v>
      </c>
      <c r="E148" s="287">
        <v>2013</v>
      </c>
      <c r="F148" s="287">
        <v>2014</v>
      </c>
      <c r="G148" s="287">
        <v>2015</v>
      </c>
      <c r="H148" s="287">
        <v>2016</v>
      </c>
      <c r="I148" s="287">
        <v>2017</v>
      </c>
      <c r="J148" s="287">
        <v>2018</v>
      </c>
      <c r="K148" s="287">
        <v>2019</v>
      </c>
      <c r="L148" s="287">
        <v>2020</v>
      </c>
      <c r="M148" s="287">
        <v>2021</v>
      </c>
      <c r="N148" s="809"/>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&gt; 50 to 4,999 Kw</v>
      </c>
      <c r="AB148" s="287" t="str">
        <f>'1.  LRAMVA Summary'!G50</f>
        <v>Street Lighting</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5" outlineLevel="1">
      <c r="A150" s="511">
        <v>1</v>
      </c>
      <c r="B150" s="296" t="s">
        <v>1</v>
      </c>
      <c r="C150" s="293" t="s">
        <v>25</v>
      </c>
      <c r="D150" s="297">
        <v>10613</v>
      </c>
      <c r="E150" s="297">
        <f>'7.  Persistence Report'!AS40</f>
        <v>10613.496736147417</v>
      </c>
      <c r="F150" s="297">
        <f>'7.  Persistence Report'!AT40</f>
        <v>10613.496736147417</v>
      </c>
      <c r="G150" s="297">
        <f>'7.  Persistence Report'!AU40</f>
        <v>10613.496736147417</v>
      </c>
      <c r="H150" s="297">
        <f>'7.  Persistence Report'!AV40</f>
        <v>9707.6258725595853</v>
      </c>
      <c r="I150" s="297">
        <f>'7.  Persistence Report'!AW40</f>
        <v>0</v>
      </c>
      <c r="J150" s="297">
        <f>'7.  Persistence Report'!AX40</f>
        <v>0</v>
      </c>
      <c r="K150" s="297">
        <f>'7.  Persistence Report'!AY40</f>
        <v>0</v>
      </c>
      <c r="L150" s="297">
        <f>'7.  Persistence Report'!AZ40</f>
        <v>0</v>
      </c>
      <c r="M150" s="297">
        <f>'7.  Persistence Report'!BA40</f>
        <v>0</v>
      </c>
      <c r="N150" s="293"/>
      <c r="O150" s="297">
        <v>1</v>
      </c>
      <c r="P150" s="297">
        <f>'7.  Persistence Report'!N40</f>
        <v>1.3993541791475068</v>
      </c>
      <c r="Q150" s="297">
        <f>'7.  Persistence Report'!O40</f>
        <v>1.3993541791475068</v>
      </c>
      <c r="R150" s="297">
        <f>'7.  Persistence Report'!P40</f>
        <v>1.3993541791475068</v>
      </c>
      <c r="S150" s="297">
        <f>'7.  Persistence Report'!Q40</f>
        <v>1.2763559640889865</v>
      </c>
      <c r="T150" s="297">
        <f>'7.  Persistence Report'!R40</f>
        <v>0</v>
      </c>
      <c r="U150" s="297">
        <f>'7.  Persistence Report'!S40</f>
        <v>0</v>
      </c>
      <c r="V150" s="297">
        <f>'7.  Persistence Report'!T40</f>
        <v>0</v>
      </c>
      <c r="W150" s="297">
        <f>'7.  Persistence Report'!U40</f>
        <v>0</v>
      </c>
      <c r="X150" s="297">
        <f>'7.  Persistence Report'!V40</f>
        <v>0</v>
      </c>
      <c r="Y150" s="412">
        <v>1</v>
      </c>
      <c r="Z150" s="412"/>
      <c r="AA150" s="412"/>
      <c r="AB150" s="412"/>
      <c r="AC150" s="412"/>
      <c r="AD150" s="412"/>
      <c r="AE150" s="412"/>
      <c r="AF150" s="412"/>
      <c r="AG150" s="412"/>
      <c r="AH150" s="412"/>
      <c r="AI150" s="412"/>
      <c r="AJ150" s="412"/>
      <c r="AK150" s="412"/>
      <c r="AL150" s="412"/>
      <c r="AM150" s="298">
        <f>SUM(Y150:AL150)</f>
        <v>1</v>
      </c>
    </row>
    <row r="151" spans="1:39" ht="15.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5" outlineLevel="1">
      <c r="A153" s="511">
        <v>2</v>
      </c>
      <c r="B153" s="296" t="s">
        <v>2</v>
      </c>
      <c r="C153" s="293" t="s">
        <v>25</v>
      </c>
      <c r="D153" s="297">
        <v>82</v>
      </c>
      <c r="E153" s="297">
        <f>'7.  Persistence Report'!AS39</f>
        <v>81.514414638021861</v>
      </c>
      <c r="F153" s="297">
        <f>'7.  Persistence Report'!AT39</f>
        <v>81.514414638021861</v>
      </c>
      <c r="G153" s="297">
        <f>'7.  Persistence Report'!AU39</f>
        <v>79.916536319078816</v>
      </c>
      <c r="H153" s="297">
        <f>'7.  Persistence Report'!AV39</f>
        <v>0</v>
      </c>
      <c r="I153" s="297">
        <f>'7.  Persistence Report'!AW39</f>
        <v>0</v>
      </c>
      <c r="J153" s="297">
        <f>'7.  Persistence Report'!AX39</f>
        <v>0</v>
      </c>
      <c r="K153" s="297">
        <f>'7.  Persistence Report'!AY39</f>
        <v>0</v>
      </c>
      <c r="L153" s="297">
        <f>'7.  Persistence Report'!AZ39</f>
        <v>0</v>
      </c>
      <c r="M153" s="297">
        <f>'7.  Persistence Report'!BA39</f>
        <v>0</v>
      </c>
      <c r="N153" s="293"/>
      <c r="O153" s="297"/>
      <c r="P153" s="297"/>
      <c r="Q153" s="297"/>
      <c r="R153" s="297"/>
      <c r="S153" s="297"/>
      <c r="T153" s="297"/>
      <c r="U153" s="297"/>
      <c r="V153" s="297"/>
      <c r="W153" s="297"/>
      <c r="X153" s="297"/>
      <c r="Y153" s="412">
        <v>1</v>
      </c>
      <c r="Z153" s="412"/>
      <c r="AA153" s="412"/>
      <c r="AB153" s="412"/>
      <c r="AC153" s="412"/>
      <c r="AD153" s="412"/>
      <c r="AE153" s="412"/>
      <c r="AF153" s="412"/>
      <c r="AG153" s="412"/>
      <c r="AH153" s="412"/>
      <c r="AI153" s="412"/>
      <c r="AJ153" s="412"/>
      <c r="AK153" s="412"/>
      <c r="AL153" s="412"/>
      <c r="AM153" s="298">
        <f>SUM(Y153:AL153)</f>
        <v>1</v>
      </c>
    </row>
    <row r="154" spans="1:39" ht="15.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5" outlineLevel="1">
      <c r="A156" s="511">
        <v>3</v>
      </c>
      <c r="B156" s="296" t="s">
        <v>3</v>
      </c>
      <c r="C156" s="293" t="s">
        <v>25</v>
      </c>
      <c r="D156" s="297">
        <v>296</v>
      </c>
      <c r="E156" s="297">
        <f>'7.  Persistence Report'!AS46</f>
        <v>295.88573886220655</v>
      </c>
      <c r="F156" s="297">
        <f>'7.  Persistence Report'!AT46</f>
        <v>295.88573886220655</v>
      </c>
      <c r="G156" s="297">
        <f>'7.  Persistence Report'!AU46</f>
        <v>295.88573886220655</v>
      </c>
      <c r="H156" s="297">
        <f>'7.  Persistence Report'!AV46</f>
        <v>295.88573886220655</v>
      </c>
      <c r="I156" s="297">
        <f>'7.  Persistence Report'!AW46</f>
        <v>295.88573886220655</v>
      </c>
      <c r="J156" s="297">
        <f>'7.  Persistence Report'!AX46</f>
        <v>295.88573886220655</v>
      </c>
      <c r="K156" s="297">
        <f>'7.  Persistence Report'!AY46</f>
        <v>295.88573886220655</v>
      </c>
      <c r="L156" s="297">
        <f>'7.  Persistence Report'!AZ46</f>
        <v>295.88573886220655</v>
      </c>
      <c r="M156" s="297">
        <f>'7.  Persistence Report'!BA46</f>
        <v>295.88573886220655</v>
      </c>
      <c r="N156" s="293"/>
      <c r="O156" s="297"/>
      <c r="P156" s="297"/>
      <c r="Q156" s="297"/>
      <c r="R156" s="297"/>
      <c r="S156" s="297"/>
      <c r="T156" s="297"/>
      <c r="U156" s="297"/>
      <c r="V156" s="297"/>
      <c r="W156" s="297"/>
      <c r="X156" s="297"/>
      <c r="Y156" s="412">
        <v>1</v>
      </c>
      <c r="Z156" s="412"/>
      <c r="AA156" s="412"/>
      <c r="AB156" s="412"/>
      <c r="AC156" s="412"/>
      <c r="AD156" s="412"/>
      <c r="AE156" s="412"/>
      <c r="AF156" s="412"/>
      <c r="AG156" s="412"/>
      <c r="AH156" s="412"/>
      <c r="AI156" s="412"/>
      <c r="AJ156" s="412"/>
      <c r="AK156" s="412"/>
      <c r="AL156" s="412"/>
      <c r="AM156" s="298">
        <f>SUM(Y156:AL156)</f>
        <v>1</v>
      </c>
    </row>
    <row r="157" spans="1:39" ht="15.5" outlineLevel="1">
      <c r="B157" s="296" t="s">
        <v>245</v>
      </c>
      <c r="C157" s="293" t="s">
        <v>164</v>
      </c>
      <c r="D157" s="297">
        <v>7</v>
      </c>
      <c r="E157" s="297">
        <f>'7.  Persistence Report'!AS45</f>
        <v>6.9761425843594598</v>
      </c>
      <c r="F157" s="297">
        <f>'7.  Persistence Report'!AT45</f>
        <v>6.9761425843594598</v>
      </c>
      <c r="G157" s="297">
        <f>'7.  Persistence Report'!AU45</f>
        <v>6.9761425843594598</v>
      </c>
      <c r="H157" s="297">
        <f>'7.  Persistence Report'!AV45</f>
        <v>6.9761425843594598</v>
      </c>
      <c r="I157" s="297">
        <f>'7.  Persistence Report'!AW45</f>
        <v>6.9761425843594598</v>
      </c>
      <c r="J157" s="297">
        <f>'7.  Persistence Report'!AX45</f>
        <v>6.9761425843594598</v>
      </c>
      <c r="K157" s="297">
        <f>'7.  Persistence Report'!AY45</f>
        <v>6.9761425843594598</v>
      </c>
      <c r="L157" s="297">
        <f>'7.  Persistence Report'!AZ45</f>
        <v>6.9761425843594598</v>
      </c>
      <c r="M157" s="297">
        <f>'7.  Persistence Report'!BA45</f>
        <v>6.9761425843594598</v>
      </c>
      <c r="N157" s="470"/>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5" outlineLevel="1">
      <c r="A159" s="511">
        <v>4</v>
      </c>
      <c r="B159" s="296" t="s">
        <v>4</v>
      </c>
      <c r="C159" s="293" t="s">
        <v>25</v>
      </c>
      <c r="D159" s="297">
        <v>1175</v>
      </c>
      <c r="E159" s="297">
        <f>'7.  Persistence Report'!AS42</f>
        <v>1175.1951980203241</v>
      </c>
      <c r="F159" s="297">
        <f>'7.  Persistence Report'!AT42</f>
        <v>1175.1951980203241</v>
      </c>
      <c r="G159" s="297">
        <f>'7.  Persistence Report'!AU42</f>
        <v>1175.1951980203241</v>
      </c>
      <c r="H159" s="297">
        <f>'7.  Persistence Report'!AV42</f>
        <v>1157.5396653841246</v>
      </c>
      <c r="I159" s="297">
        <f>'7.  Persistence Report'!AW42</f>
        <v>1157.5396653841246</v>
      </c>
      <c r="J159" s="297">
        <f>'7.  Persistence Report'!AX42</f>
        <v>545.08149346774235</v>
      </c>
      <c r="K159" s="297">
        <f>'7.  Persistence Report'!AY42</f>
        <v>542.0731721816768</v>
      </c>
      <c r="L159" s="297">
        <f>'7.  Persistence Report'!AZ42</f>
        <v>542.0731721816768</v>
      </c>
      <c r="M159" s="297">
        <f>'7.  Persistence Report'!BA42</f>
        <v>542.0731721816768</v>
      </c>
      <c r="N159" s="293"/>
      <c r="O159" s="297"/>
      <c r="P159" s="297"/>
      <c r="Q159" s="297"/>
      <c r="R159" s="297"/>
      <c r="S159" s="297"/>
      <c r="T159" s="297"/>
      <c r="U159" s="297"/>
      <c r="V159" s="297"/>
      <c r="W159" s="297"/>
      <c r="X159" s="297"/>
      <c r="Y159" s="412">
        <v>1</v>
      </c>
      <c r="Z159" s="412"/>
      <c r="AA159" s="412"/>
      <c r="AB159" s="412"/>
      <c r="AC159" s="412"/>
      <c r="AD159" s="412"/>
      <c r="AE159" s="412"/>
      <c r="AF159" s="412"/>
      <c r="AG159" s="412"/>
      <c r="AH159" s="412"/>
      <c r="AI159" s="412"/>
      <c r="AJ159" s="412"/>
      <c r="AK159" s="412"/>
      <c r="AL159" s="412"/>
      <c r="AM159" s="298">
        <f>SUM(Y159:AL159)</f>
        <v>1</v>
      </c>
    </row>
    <row r="160" spans="1:39" ht="15.5"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5" outlineLevel="1">
      <c r="A162" s="511">
        <v>5</v>
      </c>
      <c r="B162" s="296" t="s">
        <v>5</v>
      </c>
      <c r="C162" s="293" t="s">
        <v>25</v>
      </c>
      <c r="D162" s="297">
        <v>22510</v>
      </c>
      <c r="E162" s="297">
        <f>'7.  Persistence Report'!AS41</f>
        <v>22510.122492356404</v>
      </c>
      <c r="F162" s="297">
        <f>'7.  Persistence Report'!AT41</f>
        <v>22510.122492356404</v>
      </c>
      <c r="G162" s="297">
        <f>'7.  Persistence Report'!AU41</f>
        <v>22510.122492356404</v>
      </c>
      <c r="H162" s="297">
        <f>'7.  Persistence Report'!AV41</f>
        <v>20235.168126726221</v>
      </c>
      <c r="I162" s="297">
        <f>'7.  Persistence Report'!AW41</f>
        <v>16454.081960270578</v>
      </c>
      <c r="J162" s="297">
        <f>'7.  Persistence Report'!AX41</f>
        <v>11223.37148495813</v>
      </c>
      <c r="K162" s="297">
        <f>'7.  Persistence Report'!AY41</f>
        <v>11200.041646413132</v>
      </c>
      <c r="L162" s="297">
        <f>'7.  Persistence Report'!AZ41</f>
        <v>11200.041646413132</v>
      </c>
      <c r="M162" s="297">
        <f>'7.  Persistence Report'!BA41</f>
        <v>5688.7688676158023</v>
      </c>
      <c r="N162" s="293"/>
      <c r="O162" s="297">
        <v>1</v>
      </c>
      <c r="P162" s="297"/>
      <c r="Q162" s="297"/>
      <c r="R162" s="297"/>
      <c r="S162" s="297"/>
      <c r="T162" s="297"/>
      <c r="U162" s="297"/>
      <c r="V162" s="297"/>
      <c r="W162" s="297"/>
      <c r="X162" s="297"/>
      <c r="Y162" s="412">
        <v>1</v>
      </c>
      <c r="Z162" s="412"/>
      <c r="AA162" s="412"/>
      <c r="AB162" s="412"/>
      <c r="AC162" s="412"/>
      <c r="AD162" s="412"/>
      <c r="AE162" s="412"/>
      <c r="AF162" s="412"/>
      <c r="AG162" s="412"/>
      <c r="AH162" s="412"/>
      <c r="AI162" s="412"/>
      <c r="AJ162" s="412"/>
      <c r="AK162" s="412"/>
      <c r="AL162" s="412"/>
      <c r="AM162" s="298">
        <f>SUM(Y162:AL162)</f>
        <v>1</v>
      </c>
    </row>
    <row r="163" spans="1:39" ht="15.5"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5" outlineLevel="1">
      <c r="A171" s="511">
        <v>8</v>
      </c>
      <c r="B171" s="296" t="s">
        <v>487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5"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5" outlineLevel="1">
      <c r="A181" s="511">
        <v>11</v>
      </c>
      <c r="B181" s="316" t="s">
        <v>21</v>
      </c>
      <c r="C181" s="293" t="s">
        <v>25</v>
      </c>
      <c r="D181" s="297">
        <v>51442</v>
      </c>
      <c r="E181" s="297">
        <f>'7.  Persistence Report'!AS43</f>
        <v>51442.032011675416</v>
      </c>
      <c r="F181" s="297">
        <f>'7.  Persistence Report'!AT43</f>
        <v>51442.032011675416</v>
      </c>
      <c r="G181" s="297">
        <f>'7.  Persistence Report'!AU43</f>
        <v>43647.417523386008</v>
      </c>
      <c r="H181" s="297">
        <f>'7.  Persistence Report'!AV43</f>
        <v>43647.417523386008</v>
      </c>
      <c r="I181" s="297">
        <f>'7.  Persistence Report'!AW43</f>
        <v>11954.144295036102</v>
      </c>
      <c r="J181" s="297">
        <f>'7.  Persistence Report'!AX43</f>
        <v>11954.144295036102</v>
      </c>
      <c r="K181" s="297">
        <f>'7.  Persistence Report'!AY43</f>
        <v>11954.144295036102</v>
      </c>
      <c r="L181" s="297">
        <f>'7.  Persistence Report'!AZ43</f>
        <v>11954.144295036102</v>
      </c>
      <c r="M181" s="297">
        <f>'7.  Persistence Report'!BA43</f>
        <v>11954.144295036102</v>
      </c>
      <c r="N181" s="297">
        <v>12</v>
      </c>
      <c r="O181" s="297">
        <v>15</v>
      </c>
      <c r="P181" s="297"/>
      <c r="Q181" s="297"/>
      <c r="R181" s="297"/>
      <c r="S181" s="297"/>
      <c r="T181" s="297"/>
      <c r="U181" s="297"/>
      <c r="V181" s="297"/>
      <c r="W181" s="297"/>
      <c r="X181" s="297"/>
      <c r="Y181" s="417"/>
      <c r="Z181" s="471">
        <v>1</v>
      </c>
      <c r="AA181" s="417"/>
      <c r="AB181" s="417"/>
      <c r="AC181" s="417"/>
      <c r="AD181" s="417"/>
      <c r="AE181" s="417"/>
      <c r="AF181" s="417"/>
      <c r="AG181" s="417"/>
      <c r="AH181" s="417"/>
      <c r="AI181" s="417"/>
      <c r="AJ181" s="417"/>
      <c r="AK181" s="417"/>
      <c r="AL181" s="417"/>
      <c r="AM181" s="298">
        <f>SUM(Y181:AL181)</f>
        <v>1</v>
      </c>
    </row>
    <row r="182" spans="1:39" ht="15.5"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5"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5" outlineLevel="1">
      <c r="A193" s="511">
        <v>15</v>
      </c>
      <c r="B193" s="316" t="s">
        <v>488</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1" outlineLevel="1">
      <c r="A196" s="511">
        <v>16</v>
      </c>
      <c r="B196" s="316" t="s">
        <v>489</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5"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5"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5" outlineLevel="1">
      <c r="A222" s="512"/>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5" outlineLevel="1">
      <c r="A233" s="511">
        <v>27</v>
      </c>
      <c r="B233" s="323" t="s">
        <v>17</v>
      </c>
      <c r="C233" s="293" t="s">
        <v>25</v>
      </c>
      <c r="D233" s="297">
        <v>92</v>
      </c>
      <c r="E233" s="297">
        <f>'7.  Persistence Report'!AS44</f>
        <v>92.017191252890512</v>
      </c>
      <c r="F233" s="297">
        <f>'7.  Persistence Report'!AT44</f>
        <v>92.017191252890512</v>
      </c>
      <c r="G233" s="297">
        <f>'7.  Persistence Report'!AU44</f>
        <v>92.017191252890512</v>
      </c>
      <c r="H233" s="297">
        <f>'7.  Persistence Report'!AV44</f>
        <v>92.017191252890512</v>
      </c>
      <c r="I233" s="297">
        <f>'7.  Persistence Report'!AW44</f>
        <v>92.017191252890512</v>
      </c>
      <c r="J233" s="297">
        <f>'7.  Persistence Report'!AX44</f>
        <v>92.017191252890512</v>
      </c>
      <c r="K233" s="297">
        <f>'7.  Persistence Report'!AY44</f>
        <v>92.017191252890512</v>
      </c>
      <c r="L233" s="297">
        <f>'7.  Persistence Report'!AZ44</f>
        <v>92.017191252890512</v>
      </c>
      <c r="M233" s="297">
        <f>'7.  Persistence Report'!BA44</f>
        <v>92.017191252890512</v>
      </c>
      <c r="N233" s="297">
        <v>12</v>
      </c>
      <c r="O233" s="297"/>
      <c r="P233" s="297"/>
      <c r="Q233" s="297"/>
      <c r="R233" s="297"/>
      <c r="S233" s="297"/>
      <c r="T233" s="297"/>
      <c r="U233" s="297"/>
      <c r="V233" s="297"/>
      <c r="W233" s="297"/>
      <c r="X233" s="297"/>
      <c r="Y233" s="428"/>
      <c r="Z233" s="417"/>
      <c r="AA233" s="417">
        <v>1</v>
      </c>
      <c r="AB233" s="417"/>
      <c r="AC233" s="417"/>
      <c r="AD233" s="417"/>
      <c r="AE233" s="417"/>
      <c r="AF233" s="417"/>
      <c r="AG233" s="417"/>
      <c r="AH233" s="417"/>
      <c r="AI233" s="417"/>
      <c r="AJ233" s="417"/>
      <c r="AK233" s="417"/>
      <c r="AL233" s="417"/>
      <c r="AM233" s="298">
        <f>SUM(Y233:AL233)</f>
        <v>1</v>
      </c>
    </row>
    <row r="234" spans="1:39" ht="15.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5" outlineLevel="1">
      <c r="A242" s="511">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5" outlineLevel="1">
      <c r="A245" s="511"/>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5" outlineLevel="1">
      <c r="A246" s="511">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5" outlineLevel="1">
      <c r="A249" s="511">
        <v>32</v>
      </c>
      <c r="B249" s="326" t="s">
        <v>494</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5" outlineLevel="1">
      <c r="A252" s="511">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5">
      <c r="B255" s="329" t="s">
        <v>246</v>
      </c>
      <c r="C255" s="331"/>
      <c r="D255" s="331">
        <f>SUM(D150:D253)</f>
        <v>86217</v>
      </c>
      <c r="E255" s="331"/>
      <c r="F255" s="331"/>
      <c r="G255" s="331"/>
      <c r="H255" s="331"/>
      <c r="I255" s="331"/>
      <c r="J255" s="331"/>
      <c r="K255" s="331"/>
      <c r="L255" s="331"/>
      <c r="M255" s="331"/>
      <c r="N255" s="331"/>
      <c r="O255" s="331">
        <f>SUM(O150:O253)</f>
        <v>17</v>
      </c>
      <c r="P255" s="331"/>
      <c r="Q255" s="331"/>
      <c r="R255" s="331"/>
      <c r="S255" s="331"/>
      <c r="T255" s="331"/>
      <c r="U255" s="331"/>
      <c r="V255" s="331"/>
      <c r="W255" s="331"/>
      <c r="X255" s="331"/>
      <c r="Y255" s="331">
        <f>IF(Y149="kWh",SUMPRODUCT(D150:D253,Y150:Y253))</f>
        <v>34683</v>
      </c>
      <c r="Z255" s="331">
        <f>IF(Z149="kWh",SUMPRODUCT(D150:D253,Z150:Z253))</f>
        <v>51442</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1.04E-2</v>
      </c>
      <c r="Z258" s="343">
        <f>HLOOKUP(Z$20,'3.  Distribution Rates'!$C$122:$P$133,4,FALSE)</f>
        <v>8.2000000000000007E-3</v>
      </c>
      <c r="AA258" s="343">
        <f>HLOOKUP(AA$20,'3.  Distribution Rates'!$C$122:$P$133,4,FALSE)</f>
        <v>1.3792</v>
      </c>
      <c r="AB258" s="343">
        <f>HLOOKUP(AB$20,'3.  Distribution Rates'!$C$122:$P$133,4,FALSE)</f>
        <v>25.946100000000001</v>
      </c>
      <c r="AC258" s="343">
        <f>HLOOKUP(AC$20,'3.  Distribution Rates'!$C$122:$P$133,4,FALSE)</f>
        <v>8.3000000000000001E-3</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595.46938164515564</v>
      </c>
      <c r="Z259" s="380">
        <f t="shared" si="70"/>
        <v>49.088265869028085</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644.55764751418371</v>
      </c>
    </row>
    <row r="260" spans="1:41" ht="15.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360.70319999999998</v>
      </c>
      <c r="Z260" s="380">
        <f t="shared" si="71"/>
        <v>421.82440000000003</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782.52760000000001</v>
      </c>
    </row>
    <row r="261" spans="1:41" s="382" customFormat="1" ht="15.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956.17258164515556</v>
      </c>
      <c r="Z261" s="348">
        <f t="shared" ref="Z261:AE261" si="73">SUM(Z259:Z260)</f>
        <v>470.9126658690281</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1427.0852475141837</v>
      </c>
    </row>
    <row r="262" spans="1:41" s="382" customFormat="1" ht="15.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1427.0852475141837</v>
      </c>
    </row>
    <row r="264" spans="1:41" ht="15.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34683.190722608735</v>
      </c>
      <c r="Z265" s="293">
        <f>SUMPRODUCT(E150:E253,Z150:Z253)</f>
        <v>51442.032011675416</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34683.190722608735</v>
      </c>
      <c r="Z266" s="293">
        <f>SUMPRODUCT(F150:F253,Z150:Z253)</f>
        <v>51442.032011675416</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34681.592844289793</v>
      </c>
      <c r="Z267" s="293">
        <f>SUMPRODUCT(G150:G253,Z150:Z253)</f>
        <v>43647.417523386008</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31403.195546116498</v>
      </c>
      <c r="Z268" s="293">
        <f>SUMPRODUCT(H150:H253,Z150:Z253)</f>
        <v>43647.417523386008</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17914.483507101268</v>
      </c>
      <c r="Z269" s="293">
        <f>SUMPRODUCT(I150:I253,Z150:Z253)</f>
        <v>11954.144295036102</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12071.314859872438</v>
      </c>
      <c r="Z270" s="293">
        <f>SUMPRODUCT(J150:J253,Z150:Z253)</f>
        <v>11954.144295036102</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12044.976700041376</v>
      </c>
      <c r="Z271" s="293">
        <f>SUMPRODUCT(K150:K253,Z150:Z253)</f>
        <v>11954.144295036102</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12044.976700041376</v>
      </c>
      <c r="Z272" s="328">
        <f>SUMPRODUCT(L150:L253,Z150:Z253)</f>
        <v>11954.144295036102</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5">
      <c r="B275" s="282" t="s">
        <v>249</v>
      </c>
      <c r="C275" s="283"/>
      <c r="D275" s="594" t="s">
        <v>530</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1" t="s">
        <v>212</v>
      </c>
      <c r="C276" s="803" t="s">
        <v>33</v>
      </c>
      <c r="D276" s="286" t="s">
        <v>424</v>
      </c>
      <c r="E276" s="805" t="s">
        <v>210</v>
      </c>
      <c r="F276" s="806"/>
      <c r="G276" s="806"/>
      <c r="H276" s="806"/>
      <c r="I276" s="806"/>
      <c r="J276" s="806"/>
      <c r="K276" s="806"/>
      <c r="L276" s="806"/>
      <c r="M276" s="807"/>
      <c r="N276" s="808" t="s">
        <v>214</v>
      </c>
      <c r="O276" s="286" t="s">
        <v>425</v>
      </c>
      <c r="P276" s="805" t="s">
        <v>213</v>
      </c>
      <c r="Q276" s="806"/>
      <c r="R276" s="806"/>
      <c r="S276" s="806"/>
      <c r="T276" s="806"/>
      <c r="U276" s="806"/>
      <c r="V276" s="806"/>
      <c r="W276" s="806"/>
      <c r="X276" s="807"/>
      <c r="Y276" s="798" t="s">
        <v>244</v>
      </c>
      <c r="Z276" s="799"/>
      <c r="AA276" s="799"/>
      <c r="AB276" s="799"/>
      <c r="AC276" s="799"/>
      <c r="AD276" s="799"/>
      <c r="AE276" s="799"/>
      <c r="AF276" s="799"/>
      <c r="AG276" s="799"/>
      <c r="AH276" s="799"/>
      <c r="AI276" s="799"/>
      <c r="AJ276" s="799"/>
      <c r="AK276" s="799"/>
      <c r="AL276" s="799"/>
      <c r="AM276" s="800"/>
    </row>
    <row r="277" spans="1:39" ht="60.75" customHeight="1">
      <c r="B277" s="802"/>
      <c r="C277" s="804"/>
      <c r="D277" s="287">
        <v>2013</v>
      </c>
      <c r="E277" s="287">
        <v>2014</v>
      </c>
      <c r="F277" s="287">
        <v>2015</v>
      </c>
      <c r="G277" s="287">
        <v>2016</v>
      </c>
      <c r="H277" s="287">
        <v>2017</v>
      </c>
      <c r="I277" s="287">
        <v>2018</v>
      </c>
      <c r="J277" s="287">
        <v>2019</v>
      </c>
      <c r="K277" s="287">
        <v>2020</v>
      </c>
      <c r="L277" s="287">
        <v>2021</v>
      </c>
      <c r="M277" s="287">
        <v>2022</v>
      </c>
      <c r="N277" s="809"/>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&gt; 50 to 4,999 Kw</v>
      </c>
      <c r="AB277" s="287" t="str">
        <f>'1.  LRAMVA Summary'!G50</f>
        <v>Street Lighting</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5" outlineLevel="1">
      <c r="A279" s="511">
        <v>1</v>
      </c>
      <c r="B279" s="296" t="s">
        <v>1</v>
      </c>
      <c r="C279" s="293" t="s">
        <v>25</v>
      </c>
      <c r="D279" s="297">
        <v>8858</v>
      </c>
      <c r="E279" s="297">
        <f>'7.  Persistence Report'!AT49</f>
        <v>8852.7803914310007</v>
      </c>
      <c r="F279" s="297">
        <f>'7.  Persistence Report'!AU49</f>
        <v>8852.7803914310007</v>
      </c>
      <c r="G279" s="297">
        <f>'7.  Persistence Report'!AV49</f>
        <v>8852.7803914310007</v>
      </c>
      <c r="H279" s="297">
        <f>'7.  Persistence Report'!AW49</f>
        <v>6193.7899231350002</v>
      </c>
      <c r="I279" s="297">
        <f>'7.  Persistence Report'!AX49</f>
        <v>0</v>
      </c>
      <c r="J279" s="297">
        <f>'7.  Persistence Report'!AY49</f>
        <v>0</v>
      </c>
      <c r="K279" s="297">
        <f>'7.  Persistence Report'!AZ49</f>
        <v>0</v>
      </c>
      <c r="L279" s="297">
        <f>'7.  Persistence Report'!BA49</f>
        <v>0</v>
      </c>
      <c r="M279" s="297">
        <f>'7.  Persistence Report'!BB49</f>
        <v>0</v>
      </c>
      <c r="N279" s="293"/>
      <c r="O279" s="297">
        <v>1</v>
      </c>
      <c r="P279" s="297">
        <f>'7.  Persistence Report'!O49</f>
        <v>1.4032294639999998</v>
      </c>
      <c r="Q279" s="297">
        <f>'7.  Persistence Report'!P49</f>
        <v>1.4032294639999998</v>
      </c>
      <c r="R279" s="297">
        <f>'7.  Persistence Report'!Q49</f>
        <v>1.4032294639999998</v>
      </c>
      <c r="S279" s="297">
        <f>'7.  Persistence Report'!R49</f>
        <v>0.91029387500000003</v>
      </c>
      <c r="T279" s="297">
        <f>'7.  Persistence Report'!S49</f>
        <v>0</v>
      </c>
      <c r="U279" s="297">
        <f>'7.  Persistence Report'!T49</f>
        <v>0</v>
      </c>
      <c r="V279" s="297">
        <f>'7.  Persistence Report'!U49</f>
        <v>0</v>
      </c>
      <c r="W279" s="297">
        <f>'7.  Persistence Report'!V49</f>
        <v>0</v>
      </c>
      <c r="X279" s="297">
        <f>'7.  Persistence Report'!W49</f>
        <v>0</v>
      </c>
      <c r="Y279" s="412">
        <v>1</v>
      </c>
      <c r="Z279" s="412"/>
      <c r="AA279" s="412"/>
      <c r="AB279" s="412"/>
      <c r="AC279" s="412"/>
      <c r="AD279" s="412"/>
      <c r="AE279" s="412"/>
      <c r="AF279" s="412"/>
      <c r="AG279" s="412"/>
      <c r="AH279" s="412"/>
      <c r="AI279" s="412"/>
      <c r="AJ279" s="412"/>
      <c r="AK279" s="412"/>
      <c r="AL279" s="412"/>
      <c r="AM279" s="298">
        <f>SUM(Y279:AL279)</f>
        <v>1</v>
      </c>
    </row>
    <row r="280" spans="1:39" ht="15.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5" outlineLevel="1">
      <c r="A282" s="511">
        <v>2</v>
      </c>
      <c r="B282" s="296" t="s">
        <v>2</v>
      </c>
      <c r="C282" s="293" t="s">
        <v>25</v>
      </c>
      <c r="D282" s="297">
        <v>369</v>
      </c>
      <c r="E282" s="297">
        <f>'7.  Persistence Report'!AT48</f>
        <v>369.43987800000002</v>
      </c>
      <c r="F282" s="297">
        <f>'7.  Persistence Report'!AU48</f>
        <v>369.43987800000002</v>
      </c>
      <c r="G282" s="297">
        <f>'7.  Persistence Report'!AV48</f>
        <v>369.43987800000002</v>
      </c>
      <c r="H282" s="297">
        <f>'7.  Persistence Report'!AW48</f>
        <v>0</v>
      </c>
      <c r="I282" s="297">
        <f>'7.  Persistence Report'!AX48</f>
        <v>0</v>
      </c>
      <c r="J282" s="297">
        <f>'7.  Persistence Report'!AY48</f>
        <v>0</v>
      </c>
      <c r="K282" s="297">
        <f>'7.  Persistence Report'!AZ48</f>
        <v>0</v>
      </c>
      <c r="L282" s="297">
        <f>'7.  Persistence Report'!BA48</f>
        <v>0</v>
      </c>
      <c r="M282" s="297">
        <f>'7.  Persistence Report'!BB48</f>
        <v>0</v>
      </c>
      <c r="N282" s="293"/>
      <c r="O282" s="297"/>
      <c r="P282" s="297"/>
      <c r="Q282" s="297"/>
      <c r="R282" s="297"/>
      <c r="S282" s="297"/>
      <c r="T282" s="297"/>
      <c r="U282" s="297"/>
      <c r="V282" s="297"/>
      <c r="W282" s="297"/>
      <c r="X282" s="297"/>
      <c r="Y282" s="412">
        <v>1</v>
      </c>
      <c r="Z282" s="412"/>
      <c r="AA282" s="412"/>
      <c r="AB282" s="412"/>
      <c r="AC282" s="412"/>
      <c r="AD282" s="412"/>
      <c r="AE282" s="412"/>
      <c r="AF282" s="412"/>
      <c r="AG282" s="412"/>
      <c r="AH282" s="412"/>
      <c r="AI282" s="412"/>
      <c r="AJ282" s="412"/>
      <c r="AK282" s="412"/>
      <c r="AL282" s="412"/>
      <c r="AM282" s="298">
        <f>SUM(Y282:AL282)</f>
        <v>1</v>
      </c>
    </row>
    <row r="283" spans="1:39" ht="15.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5" outlineLevel="1">
      <c r="A285" s="511">
        <v>3</v>
      </c>
      <c r="B285" s="296" t="s">
        <v>3</v>
      </c>
      <c r="C285" s="293" t="s">
        <v>25</v>
      </c>
      <c r="D285" s="297"/>
      <c r="E285" s="297"/>
      <c r="F285" s="297"/>
      <c r="G285" s="297"/>
      <c r="H285" s="297"/>
      <c r="I285" s="297"/>
      <c r="J285" s="297"/>
      <c r="K285" s="297"/>
      <c r="L285" s="297"/>
      <c r="M285" s="297"/>
      <c r="N285" s="293"/>
      <c r="O285" s="297"/>
      <c r="P285" s="297"/>
      <c r="Q285" s="297"/>
      <c r="R285" s="297"/>
      <c r="S285" s="297"/>
      <c r="T285" s="297"/>
      <c r="U285" s="297"/>
      <c r="V285" s="297"/>
      <c r="W285" s="297"/>
      <c r="X285" s="297"/>
      <c r="Y285" s="412">
        <v>1</v>
      </c>
      <c r="Z285" s="412"/>
      <c r="AA285" s="412"/>
      <c r="AB285" s="412"/>
      <c r="AC285" s="412"/>
      <c r="AD285" s="412"/>
      <c r="AE285" s="412"/>
      <c r="AF285" s="412"/>
      <c r="AG285" s="412"/>
      <c r="AH285" s="412"/>
      <c r="AI285" s="412"/>
      <c r="AJ285" s="412"/>
      <c r="AK285" s="412"/>
      <c r="AL285" s="412"/>
      <c r="AM285" s="298">
        <f>SUM(Y285:AL285)</f>
        <v>1</v>
      </c>
    </row>
    <row r="286" spans="1:39" ht="15.5" outlineLevel="1">
      <c r="B286" s="296" t="s">
        <v>250</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5" outlineLevel="1">
      <c r="A288" s="511">
        <v>4</v>
      </c>
      <c r="B288" s="296" t="s">
        <v>4</v>
      </c>
      <c r="C288" s="293" t="s">
        <v>25</v>
      </c>
      <c r="D288" s="297">
        <v>6478</v>
      </c>
      <c r="E288" s="297">
        <f>'7.  Persistence Report'!AT47</f>
        <v>6478.2511079129999</v>
      </c>
      <c r="F288" s="297">
        <f>'7.  Persistence Report'!AU47</f>
        <v>6228.6060160019997</v>
      </c>
      <c r="G288" s="297">
        <f>'7.  Persistence Report'!AV47</f>
        <v>5276.914636947</v>
      </c>
      <c r="H288" s="297">
        <f>'7.  Persistence Report'!AW47</f>
        <v>5276.914636947</v>
      </c>
      <c r="I288" s="297">
        <f>'7.  Persistence Report'!AX47</f>
        <v>5276.914636947</v>
      </c>
      <c r="J288" s="297">
        <f>'7.  Persistence Report'!AY47</f>
        <v>5276.914636947</v>
      </c>
      <c r="K288" s="297">
        <f>'7.  Persistence Report'!AZ47</f>
        <v>5272.5168824390003</v>
      </c>
      <c r="L288" s="297">
        <f>'7.  Persistence Report'!BA47</f>
        <v>3834.0059888360001</v>
      </c>
      <c r="M288" s="297">
        <f>'7.  Persistence Report'!BB47</f>
        <v>3834.0059888360001</v>
      </c>
      <c r="N288" s="293"/>
      <c r="O288" s="297"/>
      <c r="P288" s="297"/>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ht="15.5" outlineLevel="1">
      <c r="B289" s="296" t="s">
        <v>250</v>
      </c>
      <c r="C289" s="293" t="s">
        <v>164</v>
      </c>
      <c r="D289" s="297">
        <v>20</v>
      </c>
      <c r="E289" s="297">
        <f>'7.  Persistence Report'!AT52</f>
        <v>20</v>
      </c>
      <c r="F289" s="297">
        <f>'7.  Persistence Report'!AU52</f>
        <v>19</v>
      </c>
      <c r="G289" s="297">
        <f>'7.  Persistence Report'!AV52</f>
        <v>16</v>
      </c>
      <c r="H289" s="297">
        <f>'7.  Persistence Report'!AW52</f>
        <v>16</v>
      </c>
      <c r="I289" s="297">
        <f>'7.  Persistence Report'!AX52</f>
        <v>16</v>
      </c>
      <c r="J289" s="297">
        <f>'7.  Persistence Report'!AY52</f>
        <v>16</v>
      </c>
      <c r="K289" s="297">
        <f>'7.  Persistence Report'!AZ52</f>
        <v>16</v>
      </c>
      <c r="L289" s="297">
        <f>'7.  Persistence Report'!BA52</f>
        <v>14</v>
      </c>
      <c r="M289" s="297">
        <f>'7.  Persistence Report'!BB52</f>
        <v>14</v>
      </c>
      <c r="N289" s="470"/>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5" outlineLevel="1">
      <c r="A291" s="511">
        <v>5</v>
      </c>
      <c r="B291" s="296" t="s">
        <v>5</v>
      </c>
      <c r="C291" s="293" t="s">
        <v>25</v>
      </c>
      <c r="D291" s="297">
        <v>14400</v>
      </c>
      <c r="E291" s="297">
        <f>'7.  Persistence Report'!AT51</f>
        <v>14439.736668996</v>
      </c>
      <c r="F291" s="297">
        <f>'7.  Persistence Report'!AU51</f>
        <v>13569.707766706</v>
      </c>
      <c r="G291" s="297">
        <f>'7.  Persistence Report'!AV51</f>
        <v>10600.519963184999</v>
      </c>
      <c r="H291" s="297">
        <f>'7.  Persistence Report'!AW51</f>
        <v>10600.519963184999</v>
      </c>
      <c r="I291" s="297">
        <f>'7.  Persistence Report'!AX51</f>
        <v>10600.519963184999</v>
      </c>
      <c r="J291" s="297">
        <f>'7.  Persistence Report'!AY51</f>
        <v>10600.519963184999</v>
      </c>
      <c r="K291" s="297">
        <f>'7.  Persistence Report'!AZ51</f>
        <v>10588.027790960001</v>
      </c>
      <c r="L291" s="297">
        <f>'7.  Persistence Report'!BA51</f>
        <v>8903.9162168179992</v>
      </c>
      <c r="M291" s="297">
        <f>'7.  Persistence Report'!BB51</f>
        <v>8903.9162168179992</v>
      </c>
      <c r="N291" s="293"/>
      <c r="O291" s="297">
        <v>1</v>
      </c>
      <c r="P291" s="297">
        <f>'7.  Persistence Report'!O51</f>
        <v>0.99487308099999994</v>
      </c>
      <c r="Q291" s="297">
        <f>'7.  Persistence Report'!P51</f>
        <v>0.94025501700000003</v>
      </c>
      <c r="R291" s="297">
        <f>'7.  Persistence Report'!Q51</f>
        <v>0.75385742600000005</v>
      </c>
      <c r="S291" s="297">
        <f>'7.  Persistence Report'!R51</f>
        <v>0.75385742600000005</v>
      </c>
      <c r="T291" s="297">
        <f>'7.  Persistence Report'!S51</f>
        <v>0.75385742600000005</v>
      </c>
      <c r="U291" s="297">
        <f>'7.  Persistence Report'!T51</f>
        <v>0.75385742600000005</v>
      </c>
      <c r="V291" s="297">
        <f>'7.  Persistence Report'!U51</f>
        <v>0.75243137900000001</v>
      </c>
      <c r="W291" s="297">
        <f>'7.  Persistence Report'!V51</f>
        <v>0.64670740299999996</v>
      </c>
      <c r="X291" s="297">
        <f>'7.  Persistence Report'!W51</f>
        <v>0.64670740299999996</v>
      </c>
      <c r="Y291" s="412">
        <v>1</v>
      </c>
      <c r="Z291" s="412"/>
      <c r="AA291" s="412"/>
      <c r="AB291" s="412"/>
      <c r="AC291" s="412"/>
      <c r="AD291" s="412"/>
      <c r="AE291" s="412"/>
      <c r="AF291" s="412"/>
      <c r="AG291" s="412"/>
      <c r="AH291" s="412"/>
      <c r="AI291" s="412"/>
      <c r="AJ291" s="412"/>
      <c r="AK291" s="412"/>
      <c r="AL291" s="412"/>
      <c r="AM291" s="298">
        <f>SUM(Y291:AL291)</f>
        <v>1</v>
      </c>
    </row>
    <row r="292" spans="1:39" ht="15.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5" outlineLevel="1">
      <c r="A300" s="511">
        <v>8</v>
      </c>
      <c r="B300" s="296" t="s">
        <v>487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5" outlineLevel="1">
      <c r="A307" s="511">
        <v>10</v>
      </c>
      <c r="B307" s="312" t="s">
        <v>22</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17"/>
      <c r="Z307" s="505"/>
      <c r="AA307" s="505"/>
      <c r="AB307" s="505"/>
      <c r="AC307" s="417"/>
      <c r="AD307" s="417"/>
      <c r="AE307" s="417"/>
      <c r="AF307" s="417"/>
      <c r="AG307" s="417"/>
      <c r="AH307" s="417"/>
      <c r="AI307" s="417"/>
      <c r="AJ307" s="417"/>
      <c r="AK307" s="417"/>
      <c r="AL307" s="417"/>
      <c r="AM307" s="298">
        <f>SUM(Y307:AL307)</f>
        <v>0</v>
      </c>
    </row>
    <row r="308" spans="1:39" ht="15.5"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5" outlineLevel="1">
      <c r="A310" s="511">
        <v>11</v>
      </c>
      <c r="B310" s="316" t="s">
        <v>21</v>
      </c>
      <c r="C310" s="293" t="s">
        <v>25</v>
      </c>
      <c r="D310" s="297">
        <v>175237</v>
      </c>
      <c r="E310" s="297">
        <f>'7.  Persistence Report'!AT55</f>
        <v>175236.79528030101</v>
      </c>
      <c r="F310" s="297">
        <f>'7.  Persistence Report'!AU55</f>
        <v>156112.18586451799</v>
      </c>
      <c r="G310" s="297">
        <f>'7.  Persistence Report'!AV55</f>
        <v>88654.122644992007</v>
      </c>
      <c r="H310" s="297">
        <f>'7.  Persistence Report'!AW55</f>
        <v>29646.143528727</v>
      </c>
      <c r="I310" s="297">
        <f>'7.  Persistence Report'!AX55</f>
        <v>29646.143528727</v>
      </c>
      <c r="J310" s="297">
        <f>'7.  Persistence Report'!AY55</f>
        <v>29646.143528727</v>
      </c>
      <c r="K310" s="297">
        <f>'7.  Persistence Report'!AZ55</f>
        <v>29646.143528727</v>
      </c>
      <c r="L310" s="297">
        <f>'7.  Persistence Report'!BA55</f>
        <v>29646.143528727</v>
      </c>
      <c r="M310" s="297">
        <f>'7.  Persistence Report'!BB55</f>
        <v>29646.143528727</v>
      </c>
      <c r="N310" s="297">
        <v>12</v>
      </c>
      <c r="O310" s="297">
        <v>53</v>
      </c>
      <c r="P310" s="297">
        <f>'7.  Persistence Report'!O55</f>
        <v>53.236464781999999</v>
      </c>
      <c r="Q310" s="297">
        <f>'7.  Persistence Report'!P55</f>
        <v>47.733893047000002</v>
      </c>
      <c r="R310" s="297">
        <f>'7.  Persistence Report'!Q55</f>
        <v>29.348672201999999</v>
      </c>
      <c r="S310" s="297">
        <f>'7.  Persistence Report'!R55</f>
        <v>9.7969856409999991</v>
      </c>
      <c r="T310" s="297">
        <f>'7.  Persistence Report'!S55</f>
        <v>9.7969856409999991</v>
      </c>
      <c r="U310" s="297">
        <f>'7.  Persistence Report'!T55</f>
        <v>9.7969856409999991</v>
      </c>
      <c r="V310" s="297">
        <f>'7.  Persistence Report'!U55</f>
        <v>9.7969856409999991</v>
      </c>
      <c r="W310" s="297">
        <f>'7.  Persistence Report'!V55</f>
        <v>9.7969856409999991</v>
      </c>
      <c r="X310" s="297">
        <f>'7.  Persistence Report'!W55</f>
        <v>9.7969856409999991</v>
      </c>
      <c r="Y310" s="417"/>
      <c r="Z310" s="505">
        <v>1</v>
      </c>
      <c r="AA310" s="417"/>
      <c r="AB310" s="417"/>
      <c r="AC310" s="417"/>
      <c r="AD310" s="417"/>
      <c r="AE310" s="417"/>
      <c r="AF310" s="417"/>
      <c r="AG310" s="417"/>
      <c r="AH310" s="417"/>
      <c r="AI310" s="417"/>
      <c r="AJ310" s="417"/>
      <c r="AK310" s="417"/>
      <c r="AL310" s="417"/>
      <c r="AM310" s="298">
        <f>SUM(Y310:AL310)</f>
        <v>1</v>
      </c>
    </row>
    <row r="311" spans="1:39" ht="15.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5"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5" outlineLevel="1">
      <c r="A322" s="511">
        <v>15</v>
      </c>
      <c r="B322" s="316" t="s">
        <v>488</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1" outlineLevel="1">
      <c r="A325" s="511">
        <v>16</v>
      </c>
      <c r="B325" s="316" t="s">
        <v>489</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5"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5"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5" outlineLevel="1">
      <c r="A348" s="511">
        <v>23</v>
      </c>
      <c r="B348" s="317" t="s">
        <v>14</v>
      </c>
      <c r="C348" s="293" t="s">
        <v>25</v>
      </c>
      <c r="D348" s="297">
        <v>1156</v>
      </c>
      <c r="E348" s="297">
        <f>'7.  Persistence Report'!AT53</f>
        <v>1156.0408935549999</v>
      </c>
      <c r="F348" s="297">
        <f>'7.  Persistence Report'!AU53</f>
        <v>1156.0408935549999</v>
      </c>
      <c r="G348" s="297">
        <f>'7.  Persistence Report'!AV53</f>
        <v>1028.905273438</v>
      </c>
      <c r="H348" s="297">
        <f>'7.  Persistence Report'!AW53</f>
        <v>965.33746337900004</v>
      </c>
      <c r="I348" s="297">
        <f>'7.  Persistence Report'!AX53</f>
        <v>901.76968383799999</v>
      </c>
      <c r="J348" s="297">
        <f>'7.  Persistence Report'!AY53</f>
        <v>901.76968383799999</v>
      </c>
      <c r="K348" s="297">
        <f>'7.  Persistence Report'!AZ53</f>
        <v>901.76968383799999</v>
      </c>
      <c r="L348" s="297">
        <f>'7.  Persistence Report'!BA53</f>
        <v>453.05578613300003</v>
      </c>
      <c r="M348" s="297">
        <f>'7.  Persistence Report'!BB53</f>
        <v>453.05578613300003</v>
      </c>
      <c r="N348" s="293"/>
      <c r="O348" s="297"/>
      <c r="P348" s="297"/>
      <c r="Q348" s="297"/>
      <c r="R348" s="297"/>
      <c r="S348" s="297"/>
      <c r="T348" s="297"/>
      <c r="U348" s="297"/>
      <c r="V348" s="297"/>
      <c r="W348" s="297"/>
      <c r="X348" s="297"/>
      <c r="Y348" s="472">
        <v>1</v>
      </c>
      <c r="Z348" s="412"/>
      <c r="AA348" s="412"/>
      <c r="AB348" s="412"/>
      <c r="AC348" s="412"/>
      <c r="AD348" s="412"/>
      <c r="AE348" s="412"/>
      <c r="AF348" s="412"/>
      <c r="AG348" s="412"/>
      <c r="AH348" s="412"/>
      <c r="AI348" s="412"/>
      <c r="AJ348" s="412"/>
      <c r="AK348" s="412"/>
      <c r="AL348" s="412"/>
      <c r="AM348" s="298">
        <f>SUM(Y348:AL348)</f>
        <v>1</v>
      </c>
    </row>
    <row r="349" spans="1:39" ht="15.5" outlineLevel="1">
      <c r="B349" s="296" t="s">
        <v>250</v>
      </c>
      <c r="C349" s="293" t="s">
        <v>164</v>
      </c>
      <c r="D349" s="297">
        <v>42864</v>
      </c>
      <c r="E349" s="297">
        <f>'7.  Persistence Report'!AT54</f>
        <v>40800.466630000003</v>
      </c>
      <c r="F349" s="297">
        <f>'7.  Persistence Report'!AU54</f>
        <v>40612.865160000001</v>
      </c>
      <c r="G349" s="297">
        <f>'7.  Persistence Report'!AV54</f>
        <v>37272.66764</v>
      </c>
      <c r="H349" s="297">
        <f>'7.  Persistence Report'!AW54</f>
        <v>36099.211219999997</v>
      </c>
      <c r="I349" s="297">
        <f>'7.  Persistence Report'!AX54</f>
        <v>35179.52016</v>
      </c>
      <c r="J349" s="297">
        <f>'7.  Persistence Report'!AY54</f>
        <v>35179.52016</v>
      </c>
      <c r="K349" s="297">
        <f>'7.  Persistence Report'!AZ54</f>
        <v>35117.544540000003</v>
      </c>
      <c r="L349" s="297">
        <f>'7.  Persistence Report'!BA54</f>
        <v>22129.892210000002</v>
      </c>
      <c r="M349" s="297">
        <f>'7.  Persistence Report'!BB54</f>
        <v>22129.892210000002</v>
      </c>
      <c r="N349" s="470"/>
      <c r="O349" s="297">
        <v>4</v>
      </c>
      <c r="P349" s="297">
        <f>'7.  Persistence Report'!O54</f>
        <v>3.4681465669999998</v>
      </c>
      <c r="Q349" s="297">
        <f>'7.  Persistence Report'!P54</f>
        <v>3.4585129659999998</v>
      </c>
      <c r="R349" s="297">
        <f>'7.  Persistence Report'!Q54</f>
        <v>3.2854763</v>
      </c>
      <c r="S349" s="297">
        <f>'7.  Persistence Report'!R54</f>
        <v>3.2244272700000001</v>
      </c>
      <c r="T349" s="297">
        <f>'7.  Persistence Report'!S54</f>
        <v>3.1764433830000001</v>
      </c>
      <c r="U349" s="297">
        <f>'7.  Persistence Report'!T54</f>
        <v>3.1764433830000001</v>
      </c>
      <c r="V349" s="297">
        <f>'7.  Persistence Report'!U54</f>
        <v>3.1764433830000001</v>
      </c>
      <c r="W349" s="297">
        <f>'7.  Persistence Report'!V54</f>
        <v>2.5038643120000001</v>
      </c>
      <c r="X349" s="297">
        <f>'7.  Persistence Report'!W54</f>
        <v>2.5038643120000001</v>
      </c>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5" outlineLevel="1">
      <c r="A351" s="512"/>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5" outlineLevel="1">
      <c r="A371" s="511">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5" outlineLevel="1">
      <c r="A374" s="511"/>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5" outlineLevel="1">
      <c r="A375" s="511">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5" outlineLevel="1">
      <c r="A378" s="511">
        <v>32</v>
      </c>
      <c r="B378" s="326" t="s">
        <v>494</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5" outlineLevel="1">
      <c r="A381" s="511">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5">
      <c r="B384" s="329" t="s">
        <v>251</v>
      </c>
      <c r="C384" s="331"/>
      <c r="D384" s="331">
        <f>SUM(D279:D382)</f>
        <v>249382</v>
      </c>
      <c r="E384" s="331"/>
      <c r="F384" s="331"/>
      <c r="G384" s="331"/>
      <c r="H384" s="331"/>
      <c r="I384" s="331"/>
      <c r="J384" s="331"/>
      <c r="K384" s="331"/>
      <c r="L384" s="331"/>
      <c r="M384" s="331"/>
      <c r="N384" s="331"/>
      <c r="O384" s="331">
        <f>SUM(O279:O382)</f>
        <v>59</v>
      </c>
      <c r="P384" s="331"/>
      <c r="Q384" s="331"/>
      <c r="R384" s="331"/>
      <c r="S384" s="331"/>
      <c r="T384" s="331"/>
      <c r="U384" s="331"/>
      <c r="V384" s="331"/>
      <c r="W384" s="331"/>
      <c r="X384" s="331"/>
      <c r="Y384" s="331">
        <f>IF(Y278="kWh",SUMPRODUCT(D279:D382,Y279:Y382))</f>
        <v>74145</v>
      </c>
      <c r="Z384" s="331">
        <f>IF(Z278="kWh",SUMPRODUCT(D279:D382,Z279:Z382))</f>
        <v>175237</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511521</v>
      </c>
      <c r="Z385" s="330">
        <f>HLOOKUP(Z277,'2. LRAMVA Threshold'!$B$42:$Q$53,5,FALSE)</f>
        <v>183184</v>
      </c>
      <c r="AA385" s="330">
        <f>HLOOKUP(AA277,'2. LRAMVA Threshold'!$B$42:$Q$53,5,FALSE)</f>
        <v>959</v>
      </c>
      <c r="AB385" s="330">
        <f>HLOOKUP(AB277,'2. LRAMVA Threshold'!$B$42:$Q$53,5,FALSE)</f>
        <v>24</v>
      </c>
      <c r="AC385" s="330">
        <f>HLOOKUP(AC277,'2. LRAMVA Threshold'!$B$42:$Q$53,5,FALSE)</f>
        <v>190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1.0699999999999999E-2</v>
      </c>
      <c r="Z387" s="343">
        <f>HLOOKUP(Z$20,'3.  Distribution Rates'!$C$122:$P$133,5,FALSE)</f>
        <v>8.0999999999999996E-3</v>
      </c>
      <c r="AA387" s="343">
        <f>HLOOKUP(AA$20,'3.  Distribution Rates'!$C$122:$P$133,5,FALSE)</f>
        <v>1.3580000000000001</v>
      </c>
      <c r="AB387" s="343">
        <f>HLOOKUP(AB$20,'3.  Distribution Rates'!$C$122:$P$133,5,FALSE)</f>
        <v>25.462800000000001</v>
      </c>
      <c r="AC387" s="343">
        <f>HLOOKUP(AC$20,'3.  Distribution Rates'!$C$122:$P$133,5,FALSE)</f>
        <v>8.3999999999999995E-3</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612.64638303876598</v>
      </c>
      <c r="Z388" s="380">
        <f t="shared" si="110"/>
        <v>48.489628480381398</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661.13601151914736</v>
      </c>
      <c r="AO388" s="285"/>
    </row>
    <row r="389" spans="1:41" ht="15.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371.11014073191342</v>
      </c>
      <c r="Z389" s="380">
        <f t="shared" si="111"/>
        <v>416.68045929457082</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787.7906000264843</v>
      </c>
    </row>
    <row r="390" spans="1:41" ht="15.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793.35149999999999</v>
      </c>
      <c r="Z390" s="380">
        <f t="shared" ref="Z390:AE390" si="112">Z384*Z387</f>
        <v>1419.4196999999999</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2212.7712000000001</v>
      </c>
    </row>
    <row r="391" spans="1:41" s="382" customFormat="1" ht="15.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1777.1080237706794</v>
      </c>
      <c r="Z391" s="348">
        <f>SUM(Z388:Z390)</f>
        <v>1884.5897877749521</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3661.6978115456318</v>
      </c>
    </row>
    <row r="392" spans="1:41" s="382" customFormat="1" ht="15.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5473.2746999999999</v>
      </c>
      <c r="Z392" s="349">
        <f t="shared" si="116"/>
        <v>1483.7903999999999</v>
      </c>
      <c r="AA392" s="349">
        <f t="shared" si="116"/>
        <v>1302.3220000000001</v>
      </c>
      <c r="AB392" s="349">
        <f t="shared" si="116"/>
        <v>611.10720000000003</v>
      </c>
      <c r="AC392" s="349">
        <f t="shared" si="116"/>
        <v>1.5959999999999999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8872.0902999999998</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-5210.3924884543685</v>
      </c>
    </row>
    <row r="394" spans="1:41" ht="15.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72116.715569894994</v>
      </c>
      <c r="Z395" s="293">
        <f>SUMPRODUCT(E279:E382,Z279:Z382)</f>
        <v>175236.79528030101</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70808.440105693997</v>
      </c>
      <c r="Z396" s="293">
        <f>SUMPRODUCT(F279:F382,Z279:Z382)</f>
        <v>156112.18586451799</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63417.227783000999</v>
      </c>
      <c r="Z397" s="293">
        <f>SUMPRODUCT(G279:G382,Z279:Z382)</f>
        <v>88654.122644992007</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59151.773206646001</v>
      </c>
      <c r="Z398" s="293">
        <f>SUMPRODUCT(H279:H382,Z279:Z382)</f>
        <v>29646.143528727</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51974.724443970001</v>
      </c>
      <c r="Z399" s="293">
        <f>SUMPRODUCT(I279:I382,Z279:Z382)</f>
        <v>29646.143528727</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51974.724443970001</v>
      </c>
      <c r="Z400" s="293">
        <f>SUMPRODUCT(J279:J382,Z279:Z382)</f>
        <v>29646.143528727</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51895.858897237005</v>
      </c>
      <c r="Z401" s="328">
        <f>SUMPRODUCT(K279:K382,Z279:Z382)</f>
        <v>29646.143528727</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5">
      <c r="B404" s="282" t="s">
        <v>259</v>
      </c>
      <c r="C404" s="283"/>
      <c r="D404" s="592" t="s">
        <v>525</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1" t="s">
        <v>212</v>
      </c>
      <c r="C405" s="803" t="s">
        <v>33</v>
      </c>
      <c r="D405" s="286" t="s">
        <v>424</v>
      </c>
      <c r="E405" s="805" t="s">
        <v>210</v>
      </c>
      <c r="F405" s="806"/>
      <c r="G405" s="806"/>
      <c r="H405" s="806"/>
      <c r="I405" s="806"/>
      <c r="J405" s="806"/>
      <c r="K405" s="806"/>
      <c r="L405" s="806"/>
      <c r="M405" s="807"/>
      <c r="N405" s="808" t="s">
        <v>214</v>
      </c>
      <c r="O405" s="286" t="s">
        <v>425</v>
      </c>
      <c r="P405" s="805" t="s">
        <v>213</v>
      </c>
      <c r="Q405" s="806"/>
      <c r="R405" s="806"/>
      <c r="S405" s="806"/>
      <c r="T405" s="806"/>
      <c r="U405" s="806"/>
      <c r="V405" s="806"/>
      <c r="W405" s="806"/>
      <c r="X405" s="807"/>
      <c r="Y405" s="798" t="s">
        <v>244</v>
      </c>
      <c r="Z405" s="799"/>
      <c r="AA405" s="799"/>
      <c r="AB405" s="799"/>
      <c r="AC405" s="799"/>
      <c r="AD405" s="799"/>
      <c r="AE405" s="799"/>
      <c r="AF405" s="799"/>
      <c r="AG405" s="799"/>
      <c r="AH405" s="799"/>
      <c r="AI405" s="799"/>
      <c r="AJ405" s="799"/>
      <c r="AK405" s="799"/>
      <c r="AL405" s="799"/>
      <c r="AM405" s="800"/>
    </row>
    <row r="406" spans="1:40" ht="45.75" customHeight="1">
      <c r="B406" s="802"/>
      <c r="C406" s="804"/>
      <c r="D406" s="287">
        <v>2014</v>
      </c>
      <c r="E406" s="287">
        <v>2015</v>
      </c>
      <c r="F406" s="287">
        <v>2016</v>
      </c>
      <c r="G406" s="287">
        <v>2017</v>
      </c>
      <c r="H406" s="287">
        <v>2018</v>
      </c>
      <c r="I406" s="287">
        <v>2019</v>
      </c>
      <c r="J406" s="287">
        <v>2020</v>
      </c>
      <c r="K406" s="287">
        <v>2021</v>
      </c>
      <c r="L406" s="287">
        <v>2022</v>
      </c>
      <c r="M406" s="287">
        <v>2023</v>
      </c>
      <c r="N406" s="809"/>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&gt; 50 to 4,999 Kw</v>
      </c>
      <c r="AB406" s="287" t="str">
        <f>'1.  LRAMVA Summary'!G50</f>
        <v>Street Lighting</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5" outlineLevel="1">
      <c r="A408" s="511">
        <v>1</v>
      </c>
      <c r="B408" s="296" t="s">
        <v>1</v>
      </c>
      <c r="C408" s="293" t="s">
        <v>25</v>
      </c>
      <c r="D408" s="297">
        <v>17782</v>
      </c>
      <c r="E408" s="297">
        <f>SUM('7.  Persistence Report'!AU57:AU60)</f>
        <v>17781.869319400612</v>
      </c>
      <c r="F408" s="297">
        <f>SUM('7.  Persistence Report'!AV57:AV60)</f>
        <v>17781.869319400612</v>
      </c>
      <c r="G408" s="297">
        <f>SUM('7.  Persistence Report'!AW57:AW60)</f>
        <v>17677.46127280061</v>
      </c>
      <c r="H408" s="297">
        <f>SUM('7.  Persistence Report'!AX57:AX60)</f>
        <v>10616.768154433814</v>
      </c>
      <c r="I408" s="297">
        <f>SUM('7.  Persistence Report'!AY57:AY60)</f>
        <v>0</v>
      </c>
      <c r="J408" s="297">
        <f>SUM('7.  Persistence Report'!AZ57:AZ60)</f>
        <v>0</v>
      </c>
      <c r="K408" s="297">
        <f>SUM('7.  Persistence Report'!BA57:BA60)</f>
        <v>0</v>
      </c>
      <c r="L408" s="297">
        <f>SUM('7.  Persistence Report'!BB57:BB60)</f>
        <v>0</v>
      </c>
      <c r="M408" s="297">
        <f>SUM('7.  Persistence Report'!BC57:BC60)</f>
        <v>0</v>
      </c>
      <c r="N408" s="293"/>
      <c r="O408" s="297">
        <v>3</v>
      </c>
      <c r="P408" s="297">
        <f>SUM('7.  Persistence Report'!P57:P60)</f>
        <v>2.6521959078542841</v>
      </c>
      <c r="Q408" s="297">
        <f>SUM('7.  Persistence Report'!Q57:Q60)</f>
        <v>2.6521959078542841</v>
      </c>
      <c r="R408" s="297">
        <f>SUM('7.  Persistence Report'!R57:R60)</f>
        <v>2.5354416108542837</v>
      </c>
      <c r="S408" s="297">
        <f>SUM('7.  Persistence Report'!S57:S60)</f>
        <v>1.5602843347195228</v>
      </c>
      <c r="T408" s="297">
        <f>SUM('7.  Persistence Report'!T57:T60)</f>
        <v>0</v>
      </c>
      <c r="U408" s="297">
        <f>SUM('7.  Persistence Report'!U57:U60)</f>
        <v>0</v>
      </c>
      <c r="V408" s="297">
        <f>SUM('7.  Persistence Report'!V57:V60)</f>
        <v>0</v>
      </c>
      <c r="W408" s="297">
        <f>SUM('7.  Persistence Report'!W57:W60)</f>
        <v>0</v>
      </c>
      <c r="X408" s="297">
        <f>SUM('7.  Persistence Report'!X57:X60)</f>
        <v>0</v>
      </c>
      <c r="Y408" s="472">
        <v>1</v>
      </c>
      <c r="Z408" s="412"/>
      <c r="AA408" s="412"/>
      <c r="AB408" s="412"/>
      <c r="AC408" s="412"/>
      <c r="AD408" s="412"/>
      <c r="AE408" s="412"/>
      <c r="AF408" s="412"/>
      <c r="AG408" s="412"/>
      <c r="AH408" s="412"/>
      <c r="AI408" s="412"/>
      <c r="AJ408" s="412"/>
      <c r="AK408" s="412"/>
      <c r="AL408" s="412"/>
      <c r="AM408" s="298">
        <f>SUM(Y408:AL408)</f>
        <v>1</v>
      </c>
    </row>
    <row r="409" spans="1:40" ht="15.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5" outlineLevel="1">
      <c r="A411" s="511">
        <v>2</v>
      </c>
      <c r="B411" s="296" t="s">
        <v>2</v>
      </c>
      <c r="C411" s="293" t="s">
        <v>25</v>
      </c>
      <c r="D411" s="297">
        <v>369</v>
      </c>
      <c r="E411" s="297">
        <f>'7.  Persistence Report'!AU56</f>
        <v>0.369439878</v>
      </c>
      <c r="F411" s="297">
        <f>'7.  Persistence Report'!AV56</f>
        <v>0.369439878</v>
      </c>
      <c r="G411" s="297">
        <f>'7.  Persistence Report'!AW56</f>
        <v>0.369439878</v>
      </c>
      <c r="H411" s="297">
        <f>'7.  Persistence Report'!AX56</f>
        <v>0</v>
      </c>
      <c r="I411" s="297">
        <f>'7.  Persistence Report'!AY56</f>
        <v>0</v>
      </c>
      <c r="J411" s="297">
        <f>'7.  Persistence Report'!AZ56</f>
        <v>0</v>
      </c>
      <c r="K411" s="297">
        <f>'7.  Persistence Report'!BA56</f>
        <v>0</v>
      </c>
      <c r="L411" s="297">
        <f>'7.  Persistence Report'!BB56</f>
        <v>0</v>
      </c>
      <c r="M411" s="297">
        <f>'7.  Persistence Report'!BC56</f>
        <v>0</v>
      </c>
      <c r="N411" s="293"/>
      <c r="O411" s="297"/>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5" outlineLevel="1">
      <c r="A414" s="511">
        <v>3</v>
      </c>
      <c r="B414" s="296" t="s">
        <v>3</v>
      </c>
      <c r="C414" s="293" t="s">
        <v>25</v>
      </c>
      <c r="D414" s="297">
        <v>676</v>
      </c>
      <c r="E414" s="297">
        <f>'7.  Persistence Report'!AU65</f>
        <v>675.85157537999999</v>
      </c>
      <c r="F414" s="297">
        <f>'7.  Persistence Report'!AV65</f>
        <v>675.85157537999999</v>
      </c>
      <c r="G414" s="297">
        <f>'7.  Persistence Report'!AW65</f>
        <v>675.85157537999999</v>
      </c>
      <c r="H414" s="297">
        <f>'7.  Persistence Report'!AX65</f>
        <v>675.85157537999999</v>
      </c>
      <c r="I414" s="297">
        <f>'7.  Persistence Report'!AY65</f>
        <v>675.85157537999999</v>
      </c>
      <c r="J414" s="297">
        <f>'7.  Persistence Report'!AZ65</f>
        <v>675.85157537999999</v>
      </c>
      <c r="K414" s="297">
        <f>'7.  Persistence Report'!BA65</f>
        <v>675.85157537999999</v>
      </c>
      <c r="L414" s="297">
        <f>'7.  Persistence Report'!BB65</f>
        <v>675.85157537999999</v>
      </c>
      <c r="M414" s="297">
        <f>'7.  Persistence Report'!BC65</f>
        <v>675.85157537999999</v>
      </c>
      <c r="N414" s="293"/>
      <c r="O414" s="297"/>
      <c r="P414" s="297"/>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5" outlineLevel="1">
      <c r="A417" s="511">
        <v>4</v>
      </c>
      <c r="B417" s="296" t="s">
        <v>4</v>
      </c>
      <c r="C417" s="293" t="s">
        <v>25</v>
      </c>
      <c r="D417" s="297">
        <v>23666</v>
      </c>
      <c r="E417" s="297">
        <f>'7.  Persistence Report'!AU62</f>
        <v>22036.969349999999</v>
      </c>
      <c r="F417" s="297">
        <f>'7.  Persistence Report'!AV62</f>
        <v>21250.127619999999</v>
      </c>
      <c r="G417" s="297">
        <f>'7.  Persistence Report'!AW62</f>
        <v>21250.127619999999</v>
      </c>
      <c r="H417" s="297">
        <f>'7.  Persistence Report'!AX62</f>
        <v>21250.127619999999</v>
      </c>
      <c r="I417" s="297">
        <f>'7.  Persistence Report'!AY62</f>
        <v>21250.127619999999</v>
      </c>
      <c r="J417" s="297">
        <f>'7.  Persistence Report'!AZ62</f>
        <v>21250.127619999999</v>
      </c>
      <c r="K417" s="297">
        <f>'7.  Persistence Report'!BA62</f>
        <v>21208.816699999999</v>
      </c>
      <c r="L417" s="297">
        <f>'7.  Persistence Report'!BB62</f>
        <v>21208.816699999999</v>
      </c>
      <c r="M417" s="297">
        <f>'7.  Persistence Report'!BC62</f>
        <v>18146.451509999999</v>
      </c>
      <c r="N417" s="293"/>
      <c r="O417" s="297">
        <v>2</v>
      </c>
      <c r="P417" s="297">
        <f>'7.  Persistence Report'!P62</f>
        <v>1.6683144809999999</v>
      </c>
      <c r="Q417" s="297">
        <f>'7.  Persistence Report'!Q62</f>
        <v>1.6189186820000001</v>
      </c>
      <c r="R417" s="297">
        <f>'7.  Persistence Report'!R62</f>
        <v>1.6189186820000001</v>
      </c>
      <c r="S417" s="297">
        <f>'7.  Persistence Report'!S62</f>
        <v>1.6189186820000001</v>
      </c>
      <c r="T417" s="297">
        <f>'7.  Persistence Report'!T62</f>
        <v>1.6189186820000001</v>
      </c>
      <c r="U417" s="297">
        <f>'7.  Persistence Report'!U62</f>
        <v>1.6189186820000001</v>
      </c>
      <c r="V417" s="297">
        <f>'7.  Persistence Report'!V62</f>
        <v>1.6142028239999999</v>
      </c>
      <c r="W417" s="297">
        <f>'7.  Persistence Report'!W62</f>
        <v>1.6142028239999999</v>
      </c>
      <c r="X417" s="297">
        <f>'7.  Persistence Report'!X62</f>
        <v>1.421955809</v>
      </c>
      <c r="Y417" s="472">
        <v>1</v>
      </c>
      <c r="Z417" s="412"/>
      <c r="AA417" s="412"/>
      <c r="AB417" s="412"/>
      <c r="AC417" s="412"/>
      <c r="AD417" s="412"/>
      <c r="AE417" s="412"/>
      <c r="AF417" s="412"/>
      <c r="AG417" s="412"/>
      <c r="AH417" s="412"/>
      <c r="AI417" s="412"/>
      <c r="AJ417" s="412"/>
      <c r="AK417" s="412"/>
      <c r="AL417" s="412"/>
      <c r="AM417" s="298">
        <f>SUM(Y417:AL417)</f>
        <v>1</v>
      </c>
    </row>
    <row r="418" spans="1:39" ht="15.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5" outlineLevel="1">
      <c r="A420" s="511">
        <v>5</v>
      </c>
      <c r="B420" s="296" t="s">
        <v>5</v>
      </c>
      <c r="C420" s="293" t="s">
        <v>25</v>
      </c>
      <c r="D420" s="297">
        <v>103300</v>
      </c>
      <c r="E420" s="297">
        <f>'7.  Persistence Report'!AU61</f>
        <v>89611.964340000006</v>
      </c>
      <c r="F420" s="297">
        <f>'7.  Persistence Report'!AV61</f>
        <v>82478.334510000001</v>
      </c>
      <c r="G420" s="297">
        <f>'7.  Persistence Report'!AW61</f>
        <v>82478.334510000001</v>
      </c>
      <c r="H420" s="297">
        <f>'7.  Persistence Report'!AX61</f>
        <v>82478.334510000001</v>
      </c>
      <c r="I420" s="297">
        <f>'7.  Persistence Report'!AY61</f>
        <v>82478.334510000001</v>
      </c>
      <c r="J420" s="297">
        <f>'7.  Persistence Report'!AZ61</f>
        <v>82478.334510000001</v>
      </c>
      <c r="K420" s="297">
        <f>'7.  Persistence Report'!BA61</f>
        <v>82442.606140000004</v>
      </c>
      <c r="L420" s="297">
        <f>'7.  Persistence Report'!BB61</f>
        <v>82442.606140000004</v>
      </c>
      <c r="M420" s="297">
        <f>'7.  Persistence Report'!BC61</f>
        <v>76676.203949999996</v>
      </c>
      <c r="N420" s="293"/>
      <c r="O420" s="297">
        <v>7</v>
      </c>
      <c r="P420" s="297">
        <f>'7.  Persistence Report'!P61</f>
        <v>5.9012019860000002</v>
      </c>
      <c r="Q420" s="297">
        <f>'7.  Persistence Report'!Q61</f>
        <v>5.4533719730000003</v>
      </c>
      <c r="R420" s="297">
        <f>'7.  Persistence Report'!R61</f>
        <v>5.4533719730000003</v>
      </c>
      <c r="S420" s="297">
        <f>'7.  Persistence Report'!S61</f>
        <v>5.4533719730000003</v>
      </c>
      <c r="T420" s="297">
        <f>'7.  Persistence Report'!T61</f>
        <v>5.4533719730000003</v>
      </c>
      <c r="U420" s="297">
        <f>'7.  Persistence Report'!U61</f>
        <v>5.4533719730000003</v>
      </c>
      <c r="V420" s="297">
        <f>'7.  Persistence Report'!V61</f>
        <v>5.4492933929999996</v>
      </c>
      <c r="W420" s="297">
        <f>'7.  Persistence Report'!W61</f>
        <v>5.4492933929999996</v>
      </c>
      <c r="X420" s="297">
        <f>'7.  Persistence Report'!X61</f>
        <v>5.0872942380000001</v>
      </c>
      <c r="Y420" s="472">
        <v>1</v>
      </c>
      <c r="Z420" s="412"/>
      <c r="AA420" s="412"/>
      <c r="AB420" s="412"/>
      <c r="AC420" s="412"/>
      <c r="AD420" s="412"/>
      <c r="AE420" s="412"/>
      <c r="AF420" s="412"/>
      <c r="AG420" s="412"/>
      <c r="AH420" s="412"/>
      <c r="AI420" s="412"/>
      <c r="AJ420" s="412"/>
      <c r="AK420" s="412"/>
      <c r="AL420" s="412"/>
      <c r="AM420" s="298">
        <f>SUM(Y420:AL420)</f>
        <v>1</v>
      </c>
    </row>
    <row r="421" spans="1:39" ht="15.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5" outlineLevel="1">
      <c r="A429" s="511">
        <v>8</v>
      </c>
      <c r="B429" s="296" t="s">
        <v>487</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5" outlineLevel="1">
      <c r="A436" s="511">
        <v>10</v>
      </c>
      <c r="B436" s="312" t="s">
        <v>22</v>
      </c>
      <c r="C436" s="293" t="s">
        <v>25</v>
      </c>
      <c r="D436" s="297">
        <v>28612</v>
      </c>
      <c r="E436" s="297">
        <f>'7.  Persistence Report'!AU66</f>
        <v>28611.979080000001</v>
      </c>
      <c r="F436" s="297">
        <f>'7.  Persistence Report'!AV66</f>
        <v>28611.979080000001</v>
      </c>
      <c r="G436" s="297">
        <f>'7.  Persistence Report'!AW66</f>
        <v>28611.979080000001</v>
      </c>
      <c r="H436" s="297">
        <f>'7.  Persistence Report'!AX66</f>
        <v>28611.979080000001</v>
      </c>
      <c r="I436" s="297">
        <f>'7.  Persistence Report'!AY66</f>
        <v>28611.979080000001</v>
      </c>
      <c r="J436" s="297">
        <f>'7.  Persistence Report'!AZ66</f>
        <v>25741.23633</v>
      </c>
      <c r="K436" s="297">
        <f>'7.  Persistence Report'!BA66</f>
        <v>25741.23633</v>
      </c>
      <c r="L436" s="297">
        <f>'7.  Persistence Report'!BB66</f>
        <v>24084.192340000001</v>
      </c>
      <c r="M436" s="297">
        <f>'7.  Persistence Report'!BC66</f>
        <v>11922.331910000001</v>
      </c>
      <c r="N436" s="297">
        <v>12</v>
      </c>
      <c r="O436" s="297">
        <v>11</v>
      </c>
      <c r="P436" s="297">
        <f>'7.  Persistence Report'!P66</f>
        <v>10.99671745</v>
      </c>
      <c r="Q436" s="297">
        <f>'7.  Persistence Report'!Q66</f>
        <v>10.99671745</v>
      </c>
      <c r="R436" s="297">
        <f>'7.  Persistence Report'!R66</f>
        <v>10.99671745</v>
      </c>
      <c r="S436" s="297">
        <f>'7.  Persistence Report'!S66</f>
        <v>10.99671745</v>
      </c>
      <c r="T436" s="297">
        <f>'7.  Persistence Report'!T66</f>
        <v>10.99671745</v>
      </c>
      <c r="U436" s="297">
        <f>'7.  Persistence Report'!U66</f>
        <v>10.402329529999999</v>
      </c>
      <c r="V436" s="297">
        <f>'7.  Persistence Report'!V66</f>
        <v>10.402329529999999</v>
      </c>
      <c r="W436" s="297">
        <f>'7.  Persistence Report'!W66</f>
        <v>9.9266443150000008</v>
      </c>
      <c r="X436" s="297">
        <f>'7.  Persistence Report'!X66</f>
        <v>7.408528424</v>
      </c>
      <c r="Y436" s="417"/>
      <c r="Z436" s="471"/>
      <c r="AA436" s="471">
        <v>1</v>
      </c>
      <c r="AB436" s="471"/>
      <c r="AC436" s="417"/>
      <c r="AD436" s="417"/>
      <c r="AE436" s="417"/>
      <c r="AF436" s="417"/>
      <c r="AG436" s="417"/>
      <c r="AH436" s="417"/>
      <c r="AI436" s="417"/>
      <c r="AJ436" s="417"/>
      <c r="AK436" s="417"/>
      <c r="AL436" s="417"/>
      <c r="AM436" s="298">
        <f>SUM(Y436:AL436)</f>
        <v>1</v>
      </c>
    </row>
    <row r="437" spans="1:39" ht="15.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1</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5" outlineLevel="1">
      <c r="A439" s="511">
        <v>11</v>
      </c>
      <c r="B439" s="316" t="s">
        <v>21</v>
      </c>
      <c r="C439" s="293" t="s">
        <v>25</v>
      </c>
      <c r="D439" s="297">
        <v>52904</v>
      </c>
      <c r="E439" s="297">
        <f>'7.  Persistence Report'!AU63</f>
        <v>52159.344129999998</v>
      </c>
      <c r="F439" s="297">
        <f>'7.  Persistence Report'!AV63</f>
        <v>48756.82748</v>
      </c>
      <c r="G439" s="297">
        <f>'7.  Persistence Report'!AW63</f>
        <v>36830.740850000002</v>
      </c>
      <c r="H439" s="297">
        <f>'7.  Persistence Report'!AX63</f>
        <v>36830.740850000002</v>
      </c>
      <c r="I439" s="297">
        <f>'7.  Persistence Report'!AY63</f>
        <v>36830.740850000002</v>
      </c>
      <c r="J439" s="297">
        <f>'7.  Persistence Report'!AZ63</f>
        <v>36830.740850000002</v>
      </c>
      <c r="K439" s="297">
        <f>'7.  Persistence Report'!BA63</f>
        <v>36830.740850000002</v>
      </c>
      <c r="L439" s="297">
        <f>'7.  Persistence Report'!BB63</f>
        <v>36830.740850000002</v>
      </c>
      <c r="M439" s="297">
        <f>'7.  Persistence Report'!BC63</f>
        <v>36830.740850000002</v>
      </c>
      <c r="N439" s="297">
        <v>12</v>
      </c>
      <c r="O439" s="297">
        <v>15</v>
      </c>
      <c r="P439" s="297">
        <f>'7.  Persistence Report'!P63</f>
        <v>15.165059469999999</v>
      </c>
      <c r="Q439" s="297">
        <f>'7.  Persistence Report'!Q63</f>
        <v>14.210945690000001</v>
      </c>
      <c r="R439" s="297">
        <f>'7.  Persistence Report'!R63</f>
        <v>10.66641531</v>
      </c>
      <c r="S439" s="297">
        <f>'7.  Persistence Report'!S63</f>
        <v>10.66641531</v>
      </c>
      <c r="T439" s="297">
        <f>'7.  Persistence Report'!T63</f>
        <v>10.66641531</v>
      </c>
      <c r="U439" s="297">
        <f>'7.  Persistence Report'!U63</f>
        <v>10.66641531</v>
      </c>
      <c r="V439" s="297">
        <f>'7.  Persistence Report'!V63</f>
        <v>10.66641531</v>
      </c>
      <c r="W439" s="297">
        <f>'7.  Persistence Report'!W63</f>
        <v>10.66641531</v>
      </c>
      <c r="X439" s="297">
        <f>'7.  Persistence Report'!X63</f>
        <v>10.66641531</v>
      </c>
      <c r="Y439" s="417"/>
      <c r="Z439" s="471">
        <v>1</v>
      </c>
      <c r="AA439" s="417"/>
      <c r="AB439" s="417"/>
      <c r="AC439" s="417"/>
      <c r="AD439" s="417"/>
      <c r="AE439" s="417"/>
      <c r="AF439" s="417"/>
      <c r="AG439" s="417"/>
      <c r="AH439" s="417"/>
      <c r="AI439" s="417"/>
      <c r="AJ439" s="417"/>
      <c r="AK439" s="417"/>
      <c r="AL439" s="417"/>
      <c r="AM439" s="298">
        <f>SUM(Y439:AL439)</f>
        <v>1</v>
      </c>
    </row>
    <row r="440" spans="1:39" ht="15.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5" outlineLevel="1">
      <c r="A451" s="511">
        <v>15</v>
      </c>
      <c r="B451" s="316" t="s">
        <v>488</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1" outlineLevel="1">
      <c r="A454" s="511">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5" outlineLevel="1">
      <c r="A477" s="511">
        <v>23</v>
      </c>
      <c r="B477" s="317" t="s">
        <v>14</v>
      </c>
      <c r="C477" s="293" t="s">
        <v>25</v>
      </c>
      <c r="D477" s="297">
        <v>91975</v>
      </c>
      <c r="E477" s="297">
        <f>'7.  Persistence Report'!AU64</f>
        <v>91822.043600000005</v>
      </c>
      <c r="F477" s="297">
        <f>'7.  Persistence Report'!AV64</f>
        <v>83543.472640000007</v>
      </c>
      <c r="G477" s="297">
        <f>'7.  Persistence Report'!AW64</f>
        <v>80018.000490000006</v>
      </c>
      <c r="H477" s="297">
        <f>'7.  Persistence Report'!AX64</f>
        <v>76421.368730000002</v>
      </c>
      <c r="I477" s="297">
        <f>'7.  Persistence Report'!AY64</f>
        <v>76421.368730000002</v>
      </c>
      <c r="J477" s="297">
        <f>'7.  Persistence Report'!AZ64</f>
        <v>73242.504719999997</v>
      </c>
      <c r="K477" s="297">
        <f>'7.  Persistence Report'!BA64</f>
        <v>73242.504719999997</v>
      </c>
      <c r="L477" s="297">
        <f>'7.  Persistence Report'!BB64</f>
        <v>40493.823400000001</v>
      </c>
      <c r="M477" s="297">
        <f>'7.  Persistence Report'!BC64</f>
        <v>40493.823400000001</v>
      </c>
      <c r="N477" s="293"/>
      <c r="O477" s="297">
        <v>7</v>
      </c>
      <c r="P477" s="297">
        <f>'7.  Persistence Report'!P64</f>
        <v>7.4389760010000003</v>
      </c>
      <c r="Q477" s="297">
        <f>'7.  Persistence Report'!Q64</f>
        <v>7.0080603950000002</v>
      </c>
      <c r="R477" s="297">
        <f>'7.  Persistence Report'!R64</f>
        <v>6.8241226619999997</v>
      </c>
      <c r="S477" s="297">
        <f>'7.  Persistence Report'!S64</f>
        <v>6.6365213509999998</v>
      </c>
      <c r="T477" s="297">
        <f>'7.  Persistence Report'!T64</f>
        <v>6.6365213509999998</v>
      </c>
      <c r="U477" s="297">
        <f>'7.  Persistence Report'!U64</f>
        <v>6.4708146129999999</v>
      </c>
      <c r="V477" s="297">
        <f>'7.  Persistence Report'!V64</f>
        <v>6.4708146129999999</v>
      </c>
      <c r="W477" s="297">
        <f>'7.  Persistence Report'!W64</f>
        <v>4.7660564059999997</v>
      </c>
      <c r="X477" s="297">
        <f>'7.  Persistence Report'!X64</f>
        <v>4.7660564059999997</v>
      </c>
      <c r="Y477" s="472">
        <v>1</v>
      </c>
      <c r="Z477" s="412"/>
      <c r="AA477" s="412"/>
      <c r="AB477" s="412"/>
      <c r="AC477" s="412"/>
      <c r="AD477" s="412"/>
      <c r="AE477" s="412"/>
      <c r="AF477" s="412"/>
      <c r="AG477" s="412"/>
      <c r="AH477" s="412"/>
      <c r="AI477" s="412"/>
      <c r="AJ477" s="412"/>
      <c r="AK477" s="412"/>
      <c r="AL477" s="412"/>
      <c r="AM477" s="298">
        <f>SUM(Y477:AL477)</f>
        <v>1</v>
      </c>
    </row>
    <row r="478" spans="1:39" ht="15.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5" outlineLevel="1">
      <c r="A480" s="512"/>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5" outlineLevel="1">
      <c r="A500" s="511">
        <v>30</v>
      </c>
      <c r="B500" s="316" t="s">
        <v>491</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5" outlineLevel="1">
      <c r="A503" s="511"/>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5" outlineLevel="1">
      <c r="A504" s="511">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5" outlineLevel="1">
      <c r="A507" s="511">
        <v>32</v>
      </c>
      <c r="B507" s="326" t="s">
        <v>494</v>
      </c>
      <c r="C507" s="293" t="s">
        <v>25</v>
      </c>
      <c r="D507" s="297">
        <v>21</v>
      </c>
      <c r="E507" s="297">
        <f>'7.  Persistence Report'!AU67</f>
        <v>0</v>
      </c>
      <c r="F507" s="297">
        <f>'7.  Persistence Report'!AV67</f>
        <v>0</v>
      </c>
      <c r="G507" s="297">
        <f>'7.  Persistence Report'!AW67</f>
        <v>0</v>
      </c>
      <c r="H507" s="297">
        <f>'7.  Persistence Report'!AX67</f>
        <v>0</v>
      </c>
      <c r="I507" s="297">
        <f>'7.  Persistence Report'!AY67</f>
        <v>0</v>
      </c>
      <c r="J507" s="297">
        <f>'7.  Persistence Report'!AZ67</f>
        <v>0</v>
      </c>
      <c r="K507" s="297">
        <f>'7.  Persistence Report'!BA67</f>
        <v>0</v>
      </c>
      <c r="L507" s="297">
        <f>'7.  Persistence Report'!BB67</f>
        <v>0</v>
      </c>
      <c r="M507" s="297">
        <f>'7.  Persistence Report'!BC67</f>
        <v>0</v>
      </c>
      <c r="N507" s="297">
        <v>0</v>
      </c>
      <c r="O507" s="297"/>
      <c r="P507" s="297"/>
      <c r="Q507" s="297"/>
      <c r="R507" s="297"/>
      <c r="S507" s="297"/>
      <c r="T507" s="297"/>
      <c r="U507" s="297"/>
      <c r="V507" s="297"/>
      <c r="W507" s="297"/>
      <c r="X507" s="297"/>
      <c r="Y507" s="412">
        <v>0.74</v>
      </c>
      <c r="Z507" s="412">
        <v>0.26</v>
      </c>
      <c r="AA507" s="412"/>
      <c r="AB507" s="412"/>
      <c r="AC507" s="412"/>
      <c r="AD507" s="412"/>
      <c r="AE507" s="412"/>
      <c r="AF507" s="412"/>
      <c r="AG507" s="412"/>
      <c r="AH507" s="412"/>
      <c r="AI507" s="412"/>
      <c r="AJ507" s="412"/>
      <c r="AK507" s="412"/>
      <c r="AL507" s="412"/>
      <c r="AM507" s="298">
        <f>SUM(Y507:AL507)</f>
        <v>1</v>
      </c>
    </row>
    <row r="508" spans="1:39" s="285" customFormat="1" ht="15.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0.74</v>
      </c>
      <c r="Z508" s="413">
        <f t="shared" ref="Z508:AL508" si="149">Z507</f>
        <v>0.26</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5" outlineLevel="1">
      <c r="A510" s="511">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5">
      <c r="B513" s="329" t="s">
        <v>261</v>
      </c>
      <c r="C513" s="331"/>
      <c r="D513" s="331">
        <f>SUM(D408:D511)</f>
        <v>319305</v>
      </c>
      <c r="E513" s="331"/>
      <c r="F513" s="331"/>
      <c r="G513" s="331"/>
      <c r="H513" s="331"/>
      <c r="I513" s="331"/>
      <c r="J513" s="331"/>
      <c r="K513" s="331"/>
      <c r="L513" s="331"/>
      <c r="M513" s="331"/>
      <c r="N513" s="331"/>
      <c r="O513" s="331">
        <f>SUM(O408:O511)</f>
        <v>45</v>
      </c>
      <c r="P513" s="331"/>
      <c r="Q513" s="331"/>
      <c r="R513" s="331"/>
      <c r="S513" s="331"/>
      <c r="T513" s="331"/>
      <c r="U513" s="331"/>
      <c r="V513" s="331"/>
      <c r="W513" s="331"/>
      <c r="X513" s="331"/>
      <c r="Y513" s="331">
        <f>IF(Y407="kWh",SUMPRODUCT(D408:D511,Y408:Y511))</f>
        <v>237783.54</v>
      </c>
      <c r="Z513" s="331">
        <f>IF(Z407="kWh",SUMPRODUCT(D408:D511,Z408:Z511))</f>
        <v>52909.46</v>
      </c>
      <c r="AA513" s="331">
        <f>IF(AA407="kW",SUMPRODUCT(N408:N511,O408:O511,AA408:AA511),SUMPRODUCT(D408:D511,AA408:AA511))</f>
        <v>132</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511521</v>
      </c>
      <c r="Z514" s="330">
        <f>HLOOKUP(Z406,'2. LRAMVA Threshold'!$B$42:$Q$53,6,FALSE)</f>
        <v>183184</v>
      </c>
      <c r="AA514" s="330">
        <f>HLOOKUP(AA406,'2. LRAMVA Threshold'!$B$42:$Q$53,6,FALSE)</f>
        <v>959</v>
      </c>
      <c r="AB514" s="330">
        <f>HLOOKUP(AB406,'2. LRAMVA Threshold'!$B$42:$Q$53,6,FALSE)</f>
        <v>24</v>
      </c>
      <c r="AC514" s="330">
        <f>HLOOKUP(AC406,'2. LRAMVA Threshold'!$B$42:$Q$53,6,FALSE)</f>
        <v>190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1.14E-2</v>
      </c>
      <c r="Z516" s="343">
        <f>HLOOKUP(Z$20,'3.  Distribution Rates'!$C$122:$P$133,6,FALSE)</f>
        <v>7.9000000000000008E-3</v>
      </c>
      <c r="AA516" s="343">
        <f>HLOOKUP(AA$20,'3.  Distribution Rates'!$C$122:$P$133,6,FALSE)</f>
        <v>1.2937000000000001</v>
      </c>
      <c r="AB516" s="343">
        <f>HLOOKUP(AB$20,'3.  Distribution Rates'!$C$122:$P$133,6,FALSE)</f>
        <v>26.136399999999998</v>
      </c>
      <c r="AC516" s="343">
        <f>HLOOKUP(AC$20,'3.  Distribution Rates'!$C$122:$P$133,6,FALSE)</f>
        <v>8.5000000000000006E-3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649.68231822668054</v>
      </c>
      <c r="Z517" s="380">
        <f t="shared" ref="Z517:AL517" si="151">Z137*Z516</f>
        <v>47.292353703088033</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696.97467192976853</v>
      </c>
      <c r="AO517" s="285"/>
    </row>
    <row r="518" spans="2:41" ht="15.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395.38837423773958</v>
      </c>
      <c r="Z518" s="380">
        <f t="shared" ref="Z518:AL518" si="152">Z266*Z516</f>
        <v>406.39205289223582</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801.78042712997535</v>
      </c>
    </row>
    <row r="519" spans="2:41" ht="15.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822.13055749680291</v>
      </c>
      <c r="Z519" s="380">
        <f t="shared" ref="Z519:AL519" si="153">Z395*Z516</f>
        <v>1384.3706827143781</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2206.5012402111811</v>
      </c>
    </row>
    <row r="520" spans="2:41" ht="15.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2710.732356</v>
      </c>
      <c r="Z520" s="380">
        <f t="shared" ref="Z520:AK520" si="154">Z513*Z516</f>
        <v>417.98473400000006</v>
      </c>
      <c r="AA520" s="380">
        <f t="shared" si="154"/>
        <v>170.76840000000001</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3299.48549</v>
      </c>
    </row>
    <row r="521" spans="2:41" ht="15.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4577.9336059612233</v>
      </c>
      <c r="Z521" s="348">
        <f t="shared" ref="Z521:AK521" si="155">SUM(Z517:Z520)</f>
        <v>2256.0398233097021</v>
      </c>
      <c r="AA521" s="348">
        <f t="shared" si="155"/>
        <v>170.76840000000001</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7004.7418292709244</v>
      </c>
    </row>
    <row r="522" spans="2:41" ht="15.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5831.3393999999998</v>
      </c>
      <c r="Z522" s="349">
        <f t="shared" ref="Z522:AJ522" si="156">Z514*Z516</f>
        <v>1447.1536000000001</v>
      </c>
      <c r="AA522" s="349">
        <f>AA514*AA516</f>
        <v>1240.6583000000001</v>
      </c>
      <c r="AB522" s="349">
        <f t="shared" si="156"/>
        <v>627.27359999999999</v>
      </c>
      <c r="AC522" s="349">
        <f t="shared" si="156"/>
        <v>1.6150000000000002</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9148.0399000000016</v>
      </c>
    </row>
    <row r="523" spans="2:41" ht="15.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-2143.2980707290772</v>
      </c>
    </row>
    <row r="524" spans="2:41" ht="15.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221929.06762465864</v>
      </c>
      <c r="Z526" s="293">
        <f>SUMPRODUCT(E408:E511,Z408:Z511)</f>
        <v>52159.344129999998</v>
      </c>
      <c r="AA526" s="293">
        <f>IF(AA407="kW",SUMPRODUCT(N408:N511,P408:P511,AA408:AA511),SUMPRODUCT(E408:E511,AA408:AA511))</f>
        <v>131.96060940000001</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205730.02510465862</v>
      </c>
      <c r="Z527" s="293">
        <f>SUMPRODUCT(F408:F511,Z408:Z511)</f>
        <v>48756.82748</v>
      </c>
      <c r="AA527" s="293">
        <f>IF(AA407="kW",SUMPRODUCT(N408:N511,Q408:Q511,AA408:AA511),SUMPRODUCT(F408:F511,AA408:AA511))</f>
        <v>131.96060940000001</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202100.14490805863</v>
      </c>
      <c r="Z528" s="293">
        <f>SUMPRODUCT(G408:G511,Z408:Z511)</f>
        <v>36830.740850000002</v>
      </c>
      <c r="AA528" s="293">
        <f>IF(AA407="kW",SUMPRODUCT(N408:N511,R408:R511,AA408:AA511),SUMPRODUCT(G408:G511,AA408:AA511))</f>
        <v>131.96060940000001</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191442.45058981382</v>
      </c>
      <c r="Z529" s="293">
        <f>SUMPRODUCT(H408:H511,Z408:Z511)</f>
        <v>36830.740850000002</v>
      </c>
      <c r="AA529" s="293">
        <f>IF(AA407="kW",SUMPRODUCT(N408:N511,S408:S511,AA408:AA511),SUMPRODUCT(H408:H511,AA408:AA511))</f>
        <v>131.96060940000001</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180825.68243538</v>
      </c>
      <c r="Z530" s="293">
        <f>SUMPRODUCT(I408:I511,Z408:Z511)</f>
        <v>36830.740850000002</v>
      </c>
      <c r="AA530" s="293">
        <f>IF(AA407="kW",SUMPRODUCT(N408:N511,T408:T511,AA408:AA511),SUMPRODUCT(I408:I511,AA408:AA511))</f>
        <v>131.96060940000001</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177646.81842537998</v>
      </c>
      <c r="Z531" s="328">
        <f>SUMPRODUCT(J408:J511,Z408:Z511)</f>
        <v>36830.740850000002</v>
      </c>
      <c r="AA531" s="328">
        <f>IF(AA407="kW",SUMPRODUCT(N408:N511,U408:U511,AA408:AA511),SUMPRODUCT(J408:J511,AA408:AA511))</f>
        <v>124.82795435999999</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5">
      <c r="B534" s="597" t="s">
        <v>530</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56" zoomScale="60" zoomScaleNormal="60" workbookViewId="0">
      <pane xSplit="2" topLeftCell="C1" activePane="topRight" state="frozen"/>
      <selection pane="topRight" activeCell="AB57" sqref="AB57"/>
    </sheetView>
  </sheetViews>
  <sheetFormatPr defaultColWidth="9.1796875" defaultRowHeight="14.5" outlineLevelRow="1" outlineLevelCol="1"/>
  <cols>
    <col min="1" max="1" width="4.54296875" style="524" customWidth="1"/>
    <col min="2" max="2" width="44.1796875" style="429" customWidth="1"/>
    <col min="3" max="3" width="13.453125" style="429" customWidth="1"/>
    <col min="4" max="4" width="17" style="429" customWidth="1"/>
    <col min="5" max="13" width="9.1796875" style="429" customWidth="1" outlineLevel="1"/>
    <col min="14" max="14" width="13.54296875" style="429" customWidth="1" outlineLevel="1"/>
    <col min="15" max="15" width="15.7265625" style="429" customWidth="1"/>
    <col min="16" max="24" width="9.1796875" style="429" customWidth="1" outlineLevel="1"/>
    <col min="25" max="25" width="16.54296875" style="429" customWidth="1"/>
    <col min="26" max="27" width="15" style="429" customWidth="1"/>
    <col min="28" max="28" width="17.7265625" style="429" customWidth="1"/>
    <col min="29" max="29" width="19.7265625" style="429" customWidth="1"/>
    <col min="30" max="30" width="18.7265625" style="429" customWidth="1"/>
    <col min="31" max="35" width="14.81640625" style="429" customWidth="1"/>
    <col min="36" max="38" width="17.26953125" style="429" customWidth="1"/>
    <col min="39" max="39" width="14.54296875" style="429" customWidth="1"/>
    <col min="40" max="40" width="11.7265625" style="429" customWidth="1"/>
    <col min="41" max="16384" width="9.1796875" style="429"/>
  </cols>
  <sheetData>
    <row r="13" spans="2:39" ht="15" thickBot="1"/>
    <row r="14" spans="2:39" ht="26.25" customHeight="1" thickBot="1">
      <c r="B14" s="811"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11"/>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11"/>
      <c r="C16" s="793" t="s">
        <v>555</v>
      </c>
      <c r="D16" s="79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11" t="s">
        <v>508</v>
      </c>
      <c r="C18" s="810" t="s">
        <v>681</v>
      </c>
      <c r="D18" s="810"/>
      <c r="E18" s="810"/>
      <c r="F18" s="810"/>
      <c r="G18" s="810"/>
      <c r="H18" s="810"/>
      <c r="I18" s="810"/>
      <c r="J18" s="810"/>
      <c r="K18" s="810"/>
      <c r="L18" s="810"/>
      <c r="M18" s="810"/>
      <c r="N18" s="810"/>
      <c r="O18" s="810"/>
      <c r="P18" s="810"/>
      <c r="Q18" s="810"/>
      <c r="R18" s="810"/>
      <c r="S18" s="810"/>
      <c r="T18" s="810"/>
      <c r="U18" s="810"/>
      <c r="V18" s="810"/>
      <c r="W18" s="810"/>
      <c r="X18" s="810"/>
      <c r="Y18" s="608"/>
      <c r="Z18" s="608"/>
      <c r="AA18" s="608"/>
      <c r="AB18" s="608"/>
      <c r="AC18" s="608"/>
      <c r="AD18" s="608"/>
      <c r="AE18" s="272"/>
      <c r="AF18" s="267"/>
      <c r="AG18" s="267"/>
      <c r="AH18" s="267"/>
      <c r="AI18" s="267"/>
      <c r="AJ18" s="267"/>
      <c r="AK18" s="267"/>
      <c r="AL18" s="267"/>
      <c r="AM18" s="267"/>
    </row>
    <row r="19" spans="2:39" ht="45.75" customHeight="1">
      <c r="B19" s="811"/>
      <c r="C19" s="810" t="s">
        <v>578</v>
      </c>
      <c r="D19" s="810"/>
      <c r="E19" s="810"/>
      <c r="F19" s="810"/>
      <c r="G19" s="810"/>
      <c r="H19" s="810"/>
      <c r="I19" s="810"/>
      <c r="J19" s="810"/>
      <c r="K19" s="810"/>
      <c r="L19" s="810"/>
      <c r="M19" s="810"/>
      <c r="N19" s="810"/>
      <c r="O19" s="810"/>
      <c r="P19" s="810"/>
      <c r="Q19" s="810"/>
      <c r="R19" s="810"/>
      <c r="S19" s="810"/>
      <c r="T19" s="810"/>
      <c r="U19" s="810"/>
      <c r="V19" s="810"/>
      <c r="W19" s="810"/>
      <c r="X19" s="810"/>
      <c r="Y19" s="608"/>
      <c r="Z19" s="608"/>
      <c r="AA19" s="608"/>
      <c r="AB19" s="608"/>
      <c r="AC19" s="608"/>
      <c r="AD19" s="608"/>
      <c r="AE19" s="272"/>
      <c r="AF19" s="267"/>
      <c r="AG19" s="267"/>
      <c r="AH19" s="267"/>
      <c r="AI19" s="267"/>
      <c r="AJ19" s="267"/>
      <c r="AK19" s="267"/>
      <c r="AL19" s="267"/>
      <c r="AM19" s="267"/>
    </row>
    <row r="20" spans="2:39" ht="62.25" customHeight="1">
      <c r="B20" s="275"/>
      <c r="C20" s="810" t="s">
        <v>576</v>
      </c>
      <c r="D20" s="810"/>
      <c r="E20" s="810"/>
      <c r="F20" s="810"/>
      <c r="G20" s="810"/>
      <c r="H20" s="810"/>
      <c r="I20" s="810"/>
      <c r="J20" s="810"/>
      <c r="K20" s="810"/>
      <c r="L20" s="810"/>
      <c r="M20" s="810"/>
      <c r="N20" s="810"/>
      <c r="O20" s="810"/>
      <c r="P20" s="810"/>
      <c r="Q20" s="810"/>
      <c r="R20" s="810"/>
      <c r="S20" s="810"/>
      <c r="T20" s="810"/>
      <c r="U20" s="810"/>
      <c r="V20" s="810"/>
      <c r="W20" s="810"/>
      <c r="X20" s="810"/>
      <c r="Y20" s="608"/>
      <c r="Z20" s="608"/>
      <c r="AA20" s="608"/>
      <c r="AB20" s="608"/>
      <c r="AC20" s="608"/>
      <c r="AD20" s="608"/>
      <c r="AE20" s="430"/>
      <c r="AF20" s="267"/>
      <c r="AG20" s="267"/>
      <c r="AH20" s="267"/>
      <c r="AI20" s="267"/>
      <c r="AJ20" s="267"/>
      <c r="AK20" s="267"/>
      <c r="AL20" s="267"/>
      <c r="AM20" s="267"/>
    </row>
    <row r="21" spans="2:39" ht="37.5" customHeight="1">
      <c r="B21" s="275"/>
      <c r="C21" s="810" t="s">
        <v>648</v>
      </c>
      <c r="D21" s="810"/>
      <c r="E21" s="810"/>
      <c r="F21" s="810"/>
      <c r="G21" s="810"/>
      <c r="H21" s="810"/>
      <c r="I21" s="810"/>
      <c r="J21" s="810"/>
      <c r="K21" s="810"/>
      <c r="L21" s="810"/>
      <c r="M21" s="810"/>
      <c r="N21" s="810"/>
      <c r="O21" s="810"/>
      <c r="P21" s="810"/>
      <c r="Q21" s="810"/>
      <c r="R21" s="810"/>
      <c r="S21" s="810"/>
      <c r="T21" s="810"/>
      <c r="U21" s="810"/>
      <c r="V21" s="810"/>
      <c r="W21" s="810"/>
      <c r="X21" s="810"/>
      <c r="Y21" s="608"/>
      <c r="Z21" s="608"/>
      <c r="AA21" s="608"/>
      <c r="AB21" s="608"/>
      <c r="AC21" s="608"/>
      <c r="AD21" s="608"/>
      <c r="AE21" s="278"/>
      <c r="AF21" s="267"/>
      <c r="AG21" s="267"/>
      <c r="AH21" s="267"/>
      <c r="AI21" s="267"/>
      <c r="AJ21" s="267"/>
      <c r="AK21" s="267"/>
      <c r="AL21" s="267"/>
      <c r="AM21" s="267"/>
    </row>
    <row r="22" spans="2:39" ht="54.75" customHeight="1">
      <c r="B22" s="275"/>
      <c r="C22" s="810" t="s">
        <v>630</v>
      </c>
      <c r="D22" s="810"/>
      <c r="E22" s="810"/>
      <c r="F22" s="810"/>
      <c r="G22" s="810"/>
      <c r="H22" s="810"/>
      <c r="I22" s="810"/>
      <c r="J22" s="810"/>
      <c r="K22" s="810"/>
      <c r="L22" s="810"/>
      <c r="M22" s="810"/>
      <c r="N22" s="810"/>
      <c r="O22" s="810"/>
      <c r="P22" s="810"/>
      <c r="Q22" s="810"/>
      <c r="R22" s="810"/>
      <c r="S22" s="810"/>
      <c r="T22" s="810"/>
      <c r="U22" s="810"/>
      <c r="V22" s="810"/>
      <c r="W22" s="810"/>
      <c r="X22" s="810"/>
      <c r="Y22" s="608"/>
      <c r="Z22" s="608"/>
      <c r="AA22" s="608"/>
      <c r="AB22" s="608"/>
      <c r="AC22" s="608"/>
      <c r="AD22" s="608"/>
      <c r="AE22" s="430"/>
      <c r="AF22" s="267"/>
      <c r="AG22" s="267"/>
      <c r="AH22" s="267"/>
      <c r="AI22" s="267"/>
      <c r="AJ22" s="267"/>
      <c r="AK22" s="267"/>
      <c r="AL22" s="267"/>
      <c r="AM22" s="267"/>
    </row>
    <row r="23" spans="2:39" ht="15.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5">
      <c r="B24" s="811" t="s">
        <v>531</v>
      </c>
      <c r="C24" s="598" t="s">
        <v>533</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5">
      <c r="B25" s="811"/>
      <c r="C25" s="598" t="s">
        <v>534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5">
      <c r="B26" s="541"/>
      <c r="C26" s="598" t="s">
        <v>535</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5">
      <c r="B27" s="541"/>
      <c r="C27" s="598" t="s">
        <v>536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5">
      <c r="B28" s="541"/>
      <c r="C28" s="598" t="s">
        <v>537</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5">
      <c r="B29" s="541"/>
      <c r="C29" s="598" t="s">
        <v>538</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1" t="s">
        <v>212</v>
      </c>
      <c r="C34" s="803" t="s">
        <v>33</v>
      </c>
      <c r="D34" s="286" t="s">
        <v>424</v>
      </c>
      <c r="E34" s="805" t="s">
        <v>210</v>
      </c>
      <c r="F34" s="806"/>
      <c r="G34" s="806"/>
      <c r="H34" s="806"/>
      <c r="I34" s="806"/>
      <c r="J34" s="806"/>
      <c r="K34" s="806"/>
      <c r="L34" s="806"/>
      <c r="M34" s="807"/>
      <c r="N34" s="808" t="s">
        <v>214</v>
      </c>
      <c r="O34" s="286" t="s">
        <v>425</v>
      </c>
      <c r="P34" s="805" t="s">
        <v>213</v>
      </c>
      <c r="Q34" s="806"/>
      <c r="R34" s="806"/>
      <c r="S34" s="806"/>
      <c r="T34" s="806"/>
      <c r="U34" s="806"/>
      <c r="V34" s="806"/>
      <c r="W34" s="806"/>
      <c r="X34" s="807"/>
      <c r="Y34" s="798" t="s">
        <v>244</v>
      </c>
      <c r="Z34" s="799"/>
      <c r="AA34" s="799"/>
      <c r="AB34" s="799"/>
      <c r="AC34" s="799"/>
      <c r="AD34" s="799"/>
      <c r="AE34" s="799"/>
      <c r="AF34" s="799"/>
      <c r="AG34" s="799"/>
      <c r="AH34" s="799"/>
      <c r="AI34" s="799"/>
      <c r="AJ34" s="799"/>
      <c r="AK34" s="799"/>
      <c r="AL34" s="799"/>
      <c r="AM34" s="800"/>
    </row>
    <row r="35" spans="1:39" ht="65.25" customHeight="1">
      <c r="B35" s="802"/>
      <c r="C35" s="804"/>
      <c r="D35" s="287">
        <v>2015</v>
      </c>
      <c r="E35" s="287">
        <v>2016</v>
      </c>
      <c r="F35" s="287">
        <v>2017</v>
      </c>
      <c r="G35" s="287">
        <v>2018</v>
      </c>
      <c r="H35" s="287">
        <v>2019</v>
      </c>
      <c r="I35" s="287">
        <v>2020</v>
      </c>
      <c r="J35" s="287">
        <v>2021</v>
      </c>
      <c r="K35" s="287">
        <v>2022</v>
      </c>
      <c r="L35" s="287">
        <v>2023</v>
      </c>
      <c r="M35" s="431">
        <v>2024</v>
      </c>
      <c r="N35" s="809"/>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 &gt; 50 to 4,999 Kw</v>
      </c>
      <c r="AB35" s="287" t="str">
        <f>'1.  LRAMVA Summary'!G50</f>
        <v>Street Lighting</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t="15.5" outlineLevel="1">
      <c r="A38" s="524">
        <v>1</v>
      </c>
      <c r="B38" s="522" t="s">
        <v>95</v>
      </c>
      <c r="C38" s="293" t="s">
        <v>25</v>
      </c>
      <c r="D38" s="297">
        <v>41782</v>
      </c>
      <c r="E38" s="297">
        <f>'7.  Persistence Report'!AV70</f>
        <v>41782</v>
      </c>
      <c r="F38" s="297">
        <f>'7.  Persistence Report'!AW70</f>
        <v>41782</v>
      </c>
      <c r="G38" s="297">
        <f>'7.  Persistence Report'!AX70</f>
        <v>41782</v>
      </c>
      <c r="H38" s="297">
        <f>'7.  Persistence Report'!AY70</f>
        <v>41782</v>
      </c>
      <c r="I38" s="297">
        <f>'7.  Persistence Report'!AZ70</f>
        <v>41782</v>
      </c>
      <c r="J38" s="297">
        <f>'7.  Persistence Report'!BA70</f>
        <v>41782</v>
      </c>
      <c r="K38" s="297">
        <f>'7.  Persistence Report'!BB70</f>
        <v>41773</v>
      </c>
      <c r="L38" s="297">
        <f>'7.  Persistence Report'!BC70</f>
        <v>41773</v>
      </c>
      <c r="M38" s="297">
        <f>'7.  Persistence Report'!BD70</f>
        <v>41773</v>
      </c>
      <c r="N38" s="293"/>
      <c r="O38" s="297"/>
      <c r="P38" s="297"/>
      <c r="Q38" s="297"/>
      <c r="R38" s="297"/>
      <c r="S38" s="297"/>
      <c r="T38" s="297"/>
      <c r="U38" s="297"/>
      <c r="V38" s="297"/>
      <c r="W38" s="297"/>
      <c r="X38" s="297"/>
      <c r="Y38" s="412">
        <v>1</v>
      </c>
      <c r="Z38" s="412"/>
      <c r="AA38" s="412"/>
      <c r="AB38" s="412"/>
      <c r="AC38" s="412"/>
      <c r="AD38" s="412"/>
      <c r="AE38" s="412"/>
      <c r="AF38" s="412"/>
      <c r="AG38" s="412"/>
      <c r="AH38" s="412"/>
      <c r="AI38" s="412"/>
      <c r="AJ38" s="412"/>
      <c r="AK38" s="412"/>
      <c r="AL38" s="412"/>
      <c r="AM38" s="298">
        <f>SUM(Y38:AL38)</f>
        <v>1</v>
      </c>
    </row>
    <row r="39" spans="1:39" ht="15.5" outlineLevel="1">
      <c r="B39" s="296" t="s">
        <v>268</v>
      </c>
      <c r="C39" s="293" t="s">
        <v>164</v>
      </c>
      <c r="D39" s="297"/>
      <c r="E39" s="297"/>
      <c r="F39" s="297"/>
      <c r="G39" s="297"/>
      <c r="H39" s="297"/>
      <c r="I39" s="297"/>
      <c r="J39" s="297"/>
      <c r="K39" s="297"/>
      <c r="L39" s="297"/>
      <c r="M39" s="297"/>
      <c r="N39" s="470"/>
      <c r="O39" s="297"/>
      <c r="P39" s="297"/>
      <c r="Q39" s="297"/>
      <c r="R39" s="297"/>
      <c r="S39" s="297"/>
      <c r="T39" s="297"/>
      <c r="U39" s="297"/>
      <c r="V39" s="297"/>
      <c r="W39" s="297"/>
      <c r="X39" s="297"/>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t="15.5" outlineLevel="1">
      <c r="A41" s="524">
        <v>2</v>
      </c>
      <c r="B41" s="522" t="s">
        <v>96</v>
      </c>
      <c r="C41" s="293" t="s">
        <v>25</v>
      </c>
      <c r="D41" s="297">
        <v>76515</v>
      </c>
      <c r="E41" s="297">
        <f>'7.  Persistence Report'!AV69</f>
        <v>76515</v>
      </c>
      <c r="F41" s="297">
        <f>'7.  Persistence Report'!AW69</f>
        <v>76515</v>
      </c>
      <c r="G41" s="297">
        <f>'7.  Persistence Report'!AX69</f>
        <v>76515</v>
      </c>
      <c r="H41" s="297">
        <f>'7.  Persistence Report'!AY69</f>
        <v>76515</v>
      </c>
      <c r="I41" s="297">
        <f>'7.  Persistence Report'!AZ69</f>
        <v>76515</v>
      </c>
      <c r="J41" s="297">
        <f>'7.  Persistence Report'!BA69</f>
        <v>76515</v>
      </c>
      <c r="K41" s="297">
        <f>'7.  Persistence Report'!BB69</f>
        <v>76475</v>
      </c>
      <c r="L41" s="297">
        <f>'7.  Persistence Report'!BC69</f>
        <v>76475</v>
      </c>
      <c r="M41" s="297">
        <f>'7.  Persistence Report'!BD69</f>
        <v>76475</v>
      </c>
      <c r="N41" s="293"/>
      <c r="O41" s="297">
        <v>2</v>
      </c>
      <c r="P41" s="297">
        <f>'7.  Persistence Report'!Q69</f>
        <v>5</v>
      </c>
      <c r="Q41" s="297">
        <f>'7.  Persistence Report'!R69</f>
        <v>5</v>
      </c>
      <c r="R41" s="297">
        <f>'7.  Persistence Report'!S69</f>
        <v>5</v>
      </c>
      <c r="S41" s="297">
        <f>'7.  Persistence Report'!T69</f>
        <v>5</v>
      </c>
      <c r="T41" s="297">
        <f>'7.  Persistence Report'!U69</f>
        <v>5</v>
      </c>
      <c r="U41" s="297">
        <f>'7.  Persistence Report'!V69</f>
        <v>5</v>
      </c>
      <c r="V41" s="297">
        <f>'7.  Persistence Report'!W69</f>
        <v>5</v>
      </c>
      <c r="W41" s="297">
        <f>'7.  Persistence Report'!X69</f>
        <v>5</v>
      </c>
      <c r="X41" s="297">
        <f>'7.  Persistence Report'!Y69</f>
        <v>5</v>
      </c>
      <c r="Y41" s="412">
        <v>1</v>
      </c>
      <c r="Z41" s="412"/>
      <c r="AA41" s="412"/>
      <c r="AB41" s="412"/>
      <c r="AC41" s="412"/>
      <c r="AD41" s="412"/>
      <c r="AE41" s="412"/>
      <c r="AF41" s="412"/>
      <c r="AG41" s="412"/>
      <c r="AH41" s="412"/>
      <c r="AI41" s="412"/>
      <c r="AJ41" s="412"/>
      <c r="AK41" s="412"/>
      <c r="AL41" s="412"/>
      <c r="AM41" s="298">
        <f>SUM(Y41:AL41)</f>
        <v>1</v>
      </c>
    </row>
    <row r="42" spans="1:39" ht="15.5" outlineLevel="1">
      <c r="B42" s="296" t="s">
        <v>268</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t="15.5" outlineLevel="1">
      <c r="A44" s="524">
        <v>3</v>
      </c>
      <c r="B44" s="522" t="s">
        <v>97</v>
      </c>
      <c r="C44" s="293" t="s">
        <v>25</v>
      </c>
      <c r="D44" s="297"/>
      <c r="E44" s="297"/>
      <c r="F44" s="297"/>
      <c r="G44" s="297"/>
      <c r="H44" s="297"/>
      <c r="I44" s="297"/>
      <c r="J44" s="297"/>
      <c r="K44" s="297"/>
      <c r="L44" s="297"/>
      <c r="M44" s="297"/>
      <c r="N44" s="293"/>
      <c r="O44" s="297"/>
      <c r="P44" s="297"/>
      <c r="Q44" s="297"/>
      <c r="R44" s="297"/>
      <c r="S44" s="297"/>
      <c r="T44" s="297"/>
      <c r="U44" s="297"/>
      <c r="V44" s="297"/>
      <c r="W44" s="297"/>
      <c r="X44" s="297"/>
      <c r="Y44" s="412"/>
      <c r="Z44" s="412"/>
      <c r="AA44" s="412"/>
      <c r="AB44" s="412"/>
      <c r="AC44" s="412"/>
      <c r="AD44" s="412"/>
      <c r="AE44" s="412"/>
      <c r="AF44" s="412"/>
      <c r="AG44" s="412"/>
      <c r="AH44" s="412"/>
      <c r="AI44" s="412"/>
      <c r="AJ44" s="412"/>
      <c r="AK44" s="412"/>
      <c r="AL44" s="412"/>
      <c r="AM44" s="298">
        <f>SUM(Y44:AL44)</f>
        <v>0</v>
      </c>
    </row>
    <row r="45" spans="1:39" ht="15.5"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0</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t="15.5"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t="15.5" outlineLevel="1">
      <c r="A47" s="524">
        <v>4</v>
      </c>
      <c r="B47" s="522" t="s">
        <v>98</v>
      </c>
      <c r="C47" s="293" t="s">
        <v>25</v>
      </c>
      <c r="D47" s="297"/>
      <c r="E47" s="297"/>
      <c r="F47" s="297"/>
      <c r="G47" s="297"/>
      <c r="H47" s="297"/>
      <c r="I47" s="297"/>
      <c r="J47" s="297"/>
      <c r="K47" s="297"/>
      <c r="L47" s="297"/>
      <c r="M47" s="297"/>
      <c r="N47" s="293"/>
      <c r="O47" s="297"/>
      <c r="P47" s="297"/>
      <c r="Q47" s="297"/>
      <c r="R47" s="297"/>
      <c r="S47" s="297"/>
      <c r="T47" s="297"/>
      <c r="U47" s="297"/>
      <c r="V47" s="297"/>
      <c r="W47" s="297"/>
      <c r="X47" s="297"/>
      <c r="Y47" s="412"/>
      <c r="Z47" s="412"/>
      <c r="AA47" s="412"/>
      <c r="AB47" s="412"/>
      <c r="AC47" s="412"/>
      <c r="AD47" s="412"/>
      <c r="AE47" s="412"/>
      <c r="AF47" s="412"/>
      <c r="AG47" s="412"/>
      <c r="AH47" s="412"/>
      <c r="AI47" s="412"/>
      <c r="AJ47" s="412"/>
      <c r="AK47" s="412"/>
      <c r="AL47" s="412"/>
      <c r="AM47" s="298">
        <f>SUM(Y47:AL47)</f>
        <v>0</v>
      </c>
    </row>
    <row r="48" spans="1:39" ht="15.5" outlineLevel="1">
      <c r="B48" s="296" t="s">
        <v>268</v>
      </c>
      <c r="C48" s="293" t="s">
        <v>164</v>
      </c>
      <c r="D48" s="297"/>
      <c r="E48" s="297"/>
      <c r="F48" s="297"/>
      <c r="G48" s="297"/>
      <c r="H48" s="297"/>
      <c r="I48" s="297"/>
      <c r="J48" s="297"/>
      <c r="K48" s="297"/>
      <c r="L48" s="297"/>
      <c r="M48" s="297"/>
      <c r="N48" s="470"/>
      <c r="O48" s="297"/>
      <c r="P48" s="297"/>
      <c r="Q48" s="297"/>
      <c r="R48" s="297"/>
      <c r="S48" s="297"/>
      <c r="T48" s="297"/>
      <c r="U48" s="297"/>
      <c r="V48" s="297"/>
      <c r="W48" s="297"/>
      <c r="X48" s="297"/>
      <c r="Y48" s="413">
        <f>Y47</f>
        <v>0</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t="15.5"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ht="15.5"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t="15.5"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t="15.5"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ht="15.5"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t="15.5"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392698</v>
      </c>
      <c r="E57" s="297">
        <f>'7.  Persistence Report'!AV72</f>
        <v>392698</v>
      </c>
      <c r="F57" s="297">
        <f>'7.  Persistence Report'!AW72</f>
        <v>392698</v>
      </c>
      <c r="G57" s="297">
        <f>'7.  Persistence Report'!AX72</f>
        <v>392698</v>
      </c>
      <c r="H57" s="297">
        <f>'7.  Persistence Report'!AY72</f>
        <v>392698</v>
      </c>
      <c r="I57" s="297">
        <f>'7.  Persistence Report'!AZ72</f>
        <v>392698</v>
      </c>
      <c r="J57" s="297">
        <f>'7.  Persistence Report'!BA72</f>
        <v>392698</v>
      </c>
      <c r="K57" s="297">
        <f>'7.  Persistence Report'!BB72</f>
        <v>392698</v>
      </c>
      <c r="L57" s="297">
        <f>'7.  Persistence Report'!BC72</f>
        <v>390349</v>
      </c>
      <c r="M57" s="297">
        <f>'7.  Persistence Report'!BD72</f>
        <v>389455</v>
      </c>
      <c r="N57" s="297">
        <v>12</v>
      </c>
      <c r="O57" s="297">
        <v>40</v>
      </c>
      <c r="P57" s="297">
        <f>'7.  Persistence Report'!Q72</f>
        <v>2</v>
      </c>
      <c r="Q57" s="297">
        <f>'7.  Persistence Report'!R72</f>
        <v>2</v>
      </c>
      <c r="R57" s="297">
        <f>'7.  Persistence Report'!S72</f>
        <v>2</v>
      </c>
      <c r="S57" s="297">
        <f>'7.  Persistence Report'!T72</f>
        <v>2</v>
      </c>
      <c r="T57" s="297">
        <f>'7.  Persistence Report'!U72</f>
        <v>2</v>
      </c>
      <c r="U57" s="297">
        <f>'7.  Persistence Report'!V72</f>
        <v>2</v>
      </c>
      <c r="V57" s="297">
        <f>'7.  Persistence Report'!W72</f>
        <v>2</v>
      </c>
      <c r="W57" s="297">
        <f>'7.  Persistence Report'!X72</f>
        <v>2</v>
      </c>
      <c r="X57" s="297">
        <f>'7.  Persistence Report'!Y72</f>
        <v>2</v>
      </c>
      <c r="Y57" s="535"/>
      <c r="Z57" s="535"/>
      <c r="AA57" s="535">
        <v>0.05</v>
      </c>
      <c r="AB57" s="412">
        <v>0.95</v>
      </c>
      <c r="AC57" s="535"/>
      <c r="AD57" s="412"/>
      <c r="AE57" s="412"/>
      <c r="AF57" s="417"/>
      <c r="AG57" s="417"/>
      <c r="AH57" s="417"/>
      <c r="AI57" s="417"/>
      <c r="AJ57" s="417"/>
      <c r="AK57" s="417"/>
      <c r="AL57" s="417"/>
      <c r="AM57" s="298">
        <f>SUM(Y57:AL57)</f>
        <v>1</v>
      </c>
    </row>
    <row r="58" spans="1:39" ht="15.5"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0</v>
      </c>
      <c r="AA58" s="413">
        <f t="shared" ref="AA58" si="66">AA57</f>
        <v>0.05</v>
      </c>
      <c r="AB58" s="413">
        <f t="shared" ref="AB58" si="67">AB57</f>
        <v>0.95</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t="15.5"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1" outlineLevel="1">
      <c r="A60" s="524">
        <v>8</v>
      </c>
      <c r="B60" s="522" t="s">
        <v>102</v>
      </c>
      <c r="C60" s="293" t="s">
        <v>25</v>
      </c>
      <c r="D60" s="297">
        <v>26114</v>
      </c>
      <c r="E60" s="297">
        <f>'7.  Persistence Report'!AV71</f>
        <v>43452</v>
      </c>
      <c r="F60" s="297">
        <f>'7.  Persistence Report'!AW71</f>
        <v>26459</v>
      </c>
      <c r="G60" s="297">
        <f>'7.  Persistence Report'!AX71</f>
        <v>26114</v>
      </c>
      <c r="H60" s="297">
        <f>'7.  Persistence Report'!AY71</f>
        <v>26114</v>
      </c>
      <c r="I60" s="297">
        <f>'7.  Persistence Report'!AZ71</f>
        <v>26114</v>
      </c>
      <c r="J60" s="297">
        <f>'7.  Persistence Report'!BA71</f>
        <v>26114</v>
      </c>
      <c r="K60" s="297">
        <f>'7.  Persistence Report'!BB71</f>
        <v>26114</v>
      </c>
      <c r="L60" s="297">
        <f>'7.  Persistence Report'!BC71</f>
        <v>26114</v>
      </c>
      <c r="M60" s="297">
        <f>'7.  Persistence Report'!BD71</f>
        <v>26114</v>
      </c>
      <c r="N60" s="297">
        <v>12</v>
      </c>
      <c r="O60" s="297">
        <v>18</v>
      </c>
      <c r="P60" s="297">
        <f>'7.  Persistence Report'!Q71</f>
        <v>11</v>
      </c>
      <c r="Q60" s="297">
        <f>'7.  Persistence Report'!R71</f>
        <v>6</v>
      </c>
      <c r="R60" s="297">
        <f>'7.  Persistence Report'!S71</f>
        <v>6</v>
      </c>
      <c r="S60" s="297">
        <f>'7.  Persistence Report'!T71</f>
        <v>6</v>
      </c>
      <c r="T60" s="297">
        <f>'7.  Persistence Report'!U71</f>
        <v>6</v>
      </c>
      <c r="U60" s="297">
        <f>'7.  Persistence Report'!V71</f>
        <v>6</v>
      </c>
      <c r="V60" s="297">
        <f>'7.  Persistence Report'!W71</f>
        <v>6</v>
      </c>
      <c r="W60" s="297">
        <f>'7.  Persistence Report'!X71</f>
        <v>6</v>
      </c>
      <c r="X60" s="297">
        <f>'7.  Persistence Report'!Y71</f>
        <v>6</v>
      </c>
      <c r="Y60" s="417"/>
      <c r="Z60" s="535">
        <v>1</v>
      </c>
      <c r="AA60" s="412"/>
      <c r="AB60" s="412"/>
      <c r="AC60" s="412"/>
      <c r="AD60" s="412"/>
      <c r="AE60" s="412"/>
      <c r="AF60" s="417"/>
      <c r="AG60" s="417"/>
      <c r="AH60" s="417"/>
      <c r="AI60" s="417"/>
      <c r="AJ60" s="417"/>
      <c r="AK60" s="417"/>
      <c r="AL60" s="417"/>
      <c r="AM60" s="298">
        <f>SUM(Y60:AL60)</f>
        <v>1</v>
      </c>
    </row>
    <row r="61" spans="1:39" ht="15.5"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t="15.5"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1"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ht="15.5"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t="15.5"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1"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ht="15.5"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t="15.5"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1"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ht="15.5"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t="15.5"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31"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ht="15.5"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t="15.5"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1"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ht="15.5"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t="15.5"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t="15.5" outlineLevel="1">
      <c r="A80" s="524">
        <v>14</v>
      </c>
      <c r="B80" s="317" t="s">
        <v>109</v>
      </c>
      <c r="C80" s="293" t="s">
        <v>25</v>
      </c>
      <c r="D80" s="297"/>
      <c r="E80" s="297"/>
      <c r="F80" s="297"/>
      <c r="G80" s="297"/>
      <c r="H80" s="297"/>
      <c r="I80" s="297"/>
      <c r="J80" s="297"/>
      <c r="K80" s="297"/>
      <c r="L80" s="297"/>
      <c r="M80" s="297"/>
      <c r="N80" s="297">
        <v>12</v>
      </c>
      <c r="O80" s="297">
        <v>3</v>
      </c>
      <c r="P80" s="297"/>
      <c r="Q80" s="297"/>
      <c r="R80" s="297"/>
      <c r="S80" s="297"/>
      <c r="T80" s="297"/>
      <c r="U80" s="297"/>
      <c r="V80" s="297"/>
      <c r="W80" s="297"/>
      <c r="X80" s="297"/>
      <c r="Y80" s="535">
        <v>1</v>
      </c>
      <c r="Z80" s="412"/>
      <c r="AA80" s="412"/>
      <c r="AB80" s="412"/>
      <c r="AC80" s="412"/>
      <c r="AD80" s="412"/>
      <c r="AE80" s="412"/>
      <c r="AF80" s="412"/>
      <c r="AG80" s="412"/>
      <c r="AH80" s="412"/>
      <c r="AI80" s="412"/>
      <c r="AJ80" s="412"/>
      <c r="AK80" s="412"/>
      <c r="AL80" s="412"/>
      <c r="AM80" s="298">
        <f>SUM(Y80:AL80)</f>
        <v>1</v>
      </c>
    </row>
    <row r="81" spans="1:40" ht="15.5"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ht="15.5"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5" outlineLevel="1">
      <c r="A83" s="525"/>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ht="15.5" outlineLevel="1">
      <c r="A84" s="524">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t="15.5"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t="15.5"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t="15.5" outlineLevel="1">
      <c r="A87" s="524">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t="15.5"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t="15.5"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5" outlineLevel="1">
      <c r="B90" s="521"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t="15.5"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t="15.5"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t="15.5"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t="15.5"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t="15.5"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t="15.5"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t="15.5"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t="15.5"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t="15.5"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t="15.5"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t="15.5"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5" outlineLevel="1">
      <c r="B103" s="520"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5"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t="15.5"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ht="15.5"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t="15.5"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1"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ht="15.5"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t="15.5"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15.5"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t="15.5"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t="15.5"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15.5"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t="15.5"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t="15.5"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5"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t="15.5"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t="15.5"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t="15.5"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t="15.5"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ht="15.5"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ht="15.5"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1"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t="15.5"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ht="15.5"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1"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t="15.5"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ht="15.5"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1"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t="15.5"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ht="15.5"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1"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t="15.5"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ht="15.5"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1"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t="15.5"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ht="15.5"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t="15.5"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ht="15.5"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5"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t="15.5"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t="15.5"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ht="15.5"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t="15.5"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t="15.5"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ht="15.5"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t="15.5"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t="15.5"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ht="15.5"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5"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6.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t="15.5"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ht="15.5"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1"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t="15.5"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ht="15.5"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t="15.5"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t="15.5"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ht="15.5"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1"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t="15.5"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ht="15.5"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1"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t="15.5"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ht="15.5"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6.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t="15.5"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ht="15.5"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31"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t="15.5"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ht="15.5"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15.5"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t="15.5"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ht="15.5"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6.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t="15.5"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ht="15.5"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1"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t="15.5"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ht="15.5"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1"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t="15.5"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ht="15.5"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1"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t="15.5"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ht="15.5"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31"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t="15.5"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ht="15.5"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1"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t="15.5"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ht="15.5"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5">
      <c r="B195" s="329" t="s">
        <v>272</v>
      </c>
      <c r="C195" s="331"/>
      <c r="D195" s="331">
        <f>SUM(D38:D193)</f>
        <v>537109</v>
      </c>
      <c r="E195" s="331"/>
      <c r="F195" s="331"/>
      <c r="G195" s="331"/>
      <c r="H195" s="331"/>
      <c r="I195" s="331"/>
      <c r="J195" s="331"/>
      <c r="K195" s="331"/>
      <c r="L195" s="331"/>
      <c r="M195" s="331"/>
      <c r="N195" s="331"/>
      <c r="O195" s="331">
        <f>SUM(O38:O193)</f>
        <v>63</v>
      </c>
      <c r="P195" s="331"/>
      <c r="Q195" s="331"/>
      <c r="R195" s="331"/>
      <c r="S195" s="331"/>
      <c r="T195" s="331"/>
      <c r="U195" s="331"/>
      <c r="V195" s="331"/>
      <c r="W195" s="331"/>
      <c r="X195" s="331"/>
      <c r="Y195" s="331">
        <f>IF(Y36="kWh",SUMPRODUCT(D38:D193,Y38:Y193))</f>
        <v>118297</v>
      </c>
      <c r="Z195" s="331">
        <f>IF(Z36="kWh",SUMPRODUCT(D38:D193,Z38:Z193))</f>
        <v>26114</v>
      </c>
      <c r="AA195" s="331">
        <f>IF(AA36="kw",SUMPRODUCT(N38:N193,O38:O193,AA38:AA193),SUMPRODUCT(D38:D193,AA38:AA193))</f>
        <v>24</v>
      </c>
      <c r="AB195" s="331">
        <f>IF(AB36="kw",SUMPRODUCT(N38:N193,O38:O193,AB38:AB193),SUMPRODUCT(D38:D193,AB38:AB193))</f>
        <v>456</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511521</v>
      </c>
      <c r="Z196" s="394">
        <f>HLOOKUP(Z35,'2. LRAMVA Threshold'!$B$42:$Q$53,7,FALSE)</f>
        <v>183184</v>
      </c>
      <c r="AA196" s="394">
        <f>HLOOKUP(AA35,'2. LRAMVA Threshold'!$B$42:$Q$53,7,FALSE)</f>
        <v>959</v>
      </c>
      <c r="AB196" s="394">
        <f>HLOOKUP(AB35,'2. LRAMVA Threshold'!$B$42:$Q$53,7,FALSE)</f>
        <v>24</v>
      </c>
      <c r="AC196" s="394">
        <f>HLOOKUP(AC35,'2. LRAMVA Threshold'!$B$42:$Q$53,7,FALSE)</f>
        <v>190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ht="15.5">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ht="15.5">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1.1599999999999999E-2</v>
      </c>
      <c r="Z198" s="343">
        <f>HLOOKUP(Z$35,'3.  Distribution Rates'!$C$122:$P$133,7,FALSE)</f>
        <v>8.0000000000000002E-3</v>
      </c>
      <c r="AA198" s="343">
        <f>HLOOKUP(AA$35,'3.  Distribution Rates'!$C$122:$P$133,7,FALSE)</f>
        <v>1.2978000000000001</v>
      </c>
      <c r="AB198" s="343">
        <f>HLOOKUP(AB$35,'3.  Distribution Rates'!$C$122:$P$133,7,FALSE)</f>
        <v>27.266500000000001</v>
      </c>
      <c r="AC198" s="343">
        <f>HLOOKUP(AC$35,'3.  Distribution Rates'!$C$122:$P$133,7,FALSE)</f>
        <v>8.6E-3</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ht="15.5">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586.25174799326112</v>
      </c>
      <c r="Z199" s="380">
        <f>'4.  2011-2014 LRAM'!Z138*Z198</f>
        <v>47.890991091734719</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634.14273908499581</v>
      </c>
    </row>
    <row r="200" spans="2:39" ht="15.5">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402.30647699376158</v>
      </c>
      <c r="Z200" s="380">
        <f>'4.  2011-2014 LRAM'!Z267*Z198</f>
        <v>349.17934018708809</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751.48581718084961</v>
      </c>
    </row>
    <row r="201" spans="2:39" ht="15.5">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821.3779052260503</v>
      </c>
      <c r="Z201" s="380">
        <f>'4.  2011-2014 LRAM'!Z396*Z198</f>
        <v>1248.8974869161439</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2070.2753921421941</v>
      </c>
    </row>
    <row r="202" spans="2:39" ht="15.5">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2574.3771844460398</v>
      </c>
      <c r="Z202" s="380">
        <f>'4.  2011-2014 LRAM'!Z526*Z198</f>
        <v>417.27475304000001</v>
      </c>
      <c r="AA202" s="380">
        <f>'4.  2011-2014 LRAM'!AA526*AA198</f>
        <v>171.25847887932002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3162.9104163653601</v>
      </c>
    </row>
    <row r="203" spans="2:39" ht="15.5">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1372.2451999999998</v>
      </c>
      <c r="Z203" s="380">
        <f t="shared" ref="Z203:AL203" si="553">Z195*Z198</f>
        <v>208.91200000000001</v>
      </c>
      <c r="AA203" s="380">
        <f t="shared" si="553"/>
        <v>31.147200000000002</v>
      </c>
      <c r="AB203" s="380">
        <f t="shared" si="553"/>
        <v>12433.523999999999</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14045.828399999999</v>
      </c>
    </row>
    <row r="204" spans="2:39" ht="15.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5756.5585146591129</v>
      </c>
      <c r="Z204" s="348">
        <f>SUM(Z199:Z203)</f>
        <v>2272.1545712349666</v>
      </c>
      <c r="AA204" s="348">
        <f t="shared" ref="AA204:AE204" si="554">SUM(AA199:AA203)</f>
        <v>202.40567887932002</v>
      </c>
      <c r="AB204" s="348">
        <f t="shared" si="554"/>
        <v>12433.523999999999</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20664.642764773398</v>
      </c>
    </row>
    <row r="205" spans="2:39" ht="15.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5933.6435999999994</v>
      </c>
      <c r="Z205" s="349">
        <f t="shared" ref="Z205:AE205" si="556">Z196*Z198</f>
        <v>1465.472</v>
      </c>
      <c r="AA205" s="349">
        <f t="shared" si="556"/>
        <v>1244.5902000000001</v>
      </c>
      <c r="AB205" s="349">
        <f t="shared" si="556"/>
        <v>654.39599999999996</v>
      </c>
      <c r="AC205" s="349">
        <f t="shared" si="556"/>
        <v>1.6339999999999999</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9299.7358000000004</v>
      </c>
    </row>
    <row r="206" spans="2:39" ht="15.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11364.906964773398</v>
      </c>
    </row>
    <row r="207" spans="2:39" ht="15.5">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ht="15.5">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118297</v>
      </c>
      <c r="Z208" s="293">
        <f>SUMPRODUCT(E38:E193,Z38:Z193)</f>
        <v>43452</v>
      </c>
      <c r="AA208" s="293">
        <f>IF(AA36="kw",SUMPRODUCT(N38:N193,P38:P193,AA38:AA193),SUMPRODUCT(E38:E193,AA38:AA193))</f>
        <v>1.2000000000000002</v>
      </c>
      <c r="AB208" s="293">
        <f>IF(AB36="kw",SUMPRODUCT(N38:N193,P38:P193,AB38:AB193),SUMPRODUCT(E38:E193,AB38:AB193))</f>
        <v>22.799999999999997</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ht="15.5">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118297</v>
      </c>
      <c r="Z209" s="293">
        <f>SUMPRODUCT(F38:F193,Z38:Z193)</f>
        <v>26459</v>
      </c>
      <c r="AA209" s="293">
        <f>IF(AA36="kw",SUMPRODUCT(N38:N193,Q38:Q193,AA38:AA193),SUMPRODUCT(F38:F193,AA38:AA193))</f>
        <v>1.2000000000000002</v>
      </c>
      <c r="AB209" s="293">
        <f>IF(AB36="kw",SUMPRODUCT(N38:N193,Q38:Q193,AB38:AB193),SUMPRODUCT(F38:F193,AB38:AB193))</f>
        <v>22.799999999999997</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ht="15.5">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118297</v>
      </c>
      <c r="Z210" s="293">
        <f>SUMPRODUCT(G38:G193,Z38:Z193)</f>
        <v>26114</v>
      </c>
      <c r="AA210" s="293">
        <f>IF(AA36="kw",SUMPRODUCT(N38:N193,R38:R193,AA38:AA193),SUMPRODUCT(G38:G193,AA38:AA193))</f>
        <v>1.2000000000000002</v>
      </c>
      <c r="AB210" s="293">
        <f>IF(AB36="kw",SUMPRODUCT(N38:N193,R38:R193,AB38:AB193),SUMPRODUCT(G38:G193,AB38:AB193))</f>
        <v>22.799999999999997</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ht="15.5">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118297</v>
      </c>
      <c r="Z211" s="293">
        <f>SUMPRODUCT(H38:H193,Z38:Z193)</f>
        <v>26114</v>
      </c>
      <c r="AA211" s="293">
        <f>IF(AA36="kw",SUMPRODUCT(N38:N193,S38:S193,AA38:AA193),SUMPRODUCT(H38:H193,AA38:AA193))</f>
        <v>1.2000000000000002</v>
      </c>
      <c r="AB211" s="293">
        <f>IF(AB36="kw",SUMPRODUCT(N38:N193,S38:S193,AB38:AB193),SUMPRODUCT(H38:H193,AB38:AB193))</f>
        <v>22.799999999999997</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ht="15.5">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118297</v>
      </c>
      <c r="Z212" s="328">
        <f>SUMPRODUCT(I38:I193,Z38:Z193)</f>
        <v>26114</v>
      </c>
      <c r="AA212" s="328">
        <f>IF(AA36="kw",SUMPRODUCT(N38:N193,T38:T193,AA38:AA193),SUMPRODUCT(I38:I193,AA38:AA193))</f>
        <v>1.2000000000000002</v>
      </c>
      <c r="AB212" s="328">
        <f>IF(AB36="kw",SUMPRODUCT(N38:N193,T38:T193,AB38:AB193),SUMPRODUCT(I38:I193,AB38:AB193))</f>
        <v>22.799999999999997</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5">
      <c r="B214" s="440"/>
    </row>
    <row r="215" spans="1:39" ht="15.5">
      <c r="B215" s="440"/>
    </row>
    <row r="216" spans="1:39" ht="15.5">
      <c r="B216" s="282" t="s">
        <v>274</v>
      </c>
      <c r="C216" s="283"/>
      <c r="D216" s="592" t="s">
        <v>530</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1" t="s">
        <v>212</v>
      </c>
      <c r="C217" s="803" t="s">
        <v>33</v>
      </c>
      <c r="D217" s="286" t="s">
        <v>424</v>
      </c>
      <c r="E217" s="805" t="s">
        <v>210</v>
      </c>
      <c r="F217" s="806"/>
      <c r="G217" s="806"/>
      <c r="H217" s="806"/>
      <c r="I217" s="806"/>
      <c r="J217" s="806"/>
      <c r="K217" s="806"/>
      <c r="L217" s="806"/>
      <c r="M217" s="807"/>
      <c r="N217" s="808" t="s">
        <v>214</v>
      </c>
      <c r="O217" s="286" t="s">
        <v>425</v>
      </c>
      <c r="P217" s="805" t="s">
        <v>213</v>
      </c>
      <c r="Q217" s="806"/>
      <c r="R217" s="806"/>
      <c r="S217" s="806"/>
      <c r="T217" s="806"/>
      <c r="U217" s="806"/>
      <c r="V217" s="806"/>
      <c r="W217" s="806"/>
      <c r="X217" s="807"/>
      <c r="Y217" s="798" t="s">
        <v>244</v>
      </c>
      <c r="Z217" s="799"/>
      <c r="AA217" s="799"/>
      <c r="AB217" s="799"/>
      <c r="AC217" s="799"/>
      <c r="AD217" s="799"/>
      <c r="AE217" s="799"/>
      <c r="AF217" s="799"/>
      <c r="AG217" s="799"/>
      <c r="AH217" s="799"/>
      <c r="AI217" s="799"/>
      <c r="AJ217" s="799"/>
      <c r="AK217" s="799"/>
      <c r="AL217" s="799"/>
      <c r="AM217" s="800"/>
    </row>
    <row r="218" spans="1:39" ht="60.75" customHeight="1">
      <c r="B218" s="802"/>
      <c r="C218" s="804"/>
      <c r="D218" s="287">
        <v>2016</v>
      </c>
      <c r="E218" s="287">
        <v>2017</v>
      </c>
      <c r="F218" s="287">
        <v>2018</v>
      </c>
      <c r="G218" s="287">
        <v>2019</v>
      </c>
      <c r="H218" s="287">
        <v>2020</v>
      </c>
      <c r="I218" s="287">
        <v>2021</v>
      </c>
      <c r="J218" s="287">
        <v>2022</v>
      </c>
      <c r="K218" s="287">
        <v>2023</v>
      </c>
      <c r="L218" s="287">
        <v>2024</v>
      </c>
      <c r="M218" s="287">
        <v>2025</v>
      </c>
      <c r="N218" s="809"/>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 &gt; 50 to 4,999 Kw</v>
      </c>
      <c r="AB218" s="287" t="str">
        <f>'1.  LRAMVA Summary'!G50</f>
        <v>Street Lighting</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5"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t="15.5"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t="15.5" outlineLevel="1">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t="15.5"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t="15.5" outlineLevel="1">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t="15.5"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t="15.5"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ht="15.5"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t="15.5"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t="15.5" outlineLevel="1">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ht="15.5"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1"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t="15.5"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ht="15.5"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5"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t="15.5"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t="15.5"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ht="15.5"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1"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t="15.5"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ht="15.5"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1"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t="15.5"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ht="15.5"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1"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t="15.5"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ht="15.5"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1"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t="15.5"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ht="15.5"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1"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t="15.5"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ht="15.5"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31"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t="15.5"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ht="15.5"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1"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t="15.5"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ht="15.5"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t="15.5"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t="15.5"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ht="15.5"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5" outlineLevel="1">
      <c r="A266" s="525"/>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ht="15.5" outlineLevel="1">
      <c r="A267" s="524">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t="15.5"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ht="15.5"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t="15.5" outlineLevel="1">
      <c r="A270" s="524">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t="15.5"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ht="15.5"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5" outlineLevel="1">
      <c r="B273" s="521"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t="15.5"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t="15.5"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ht="15.5"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15.5"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t="15.5"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ht="15.5"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t="15.5"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t="15.5"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ht="15.5"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t="15.5"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t="15.5"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5" outlineLevel="1">
      <c r="B286" s="520"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5" outlineLevel="1">
      <c r="B287" s="290"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t="15.5" outlineLevel="1">
      <c r="A288" s="524">
        <v>21</v>
      </c>
      <c r="B288" s="522"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ht="15.5"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0</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ht="15.5"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1" outlineLevel="1">
      <c r="A291" s="524">
        <v>22</v>
      </c>
      <c r="B291" s="522"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t="15.5"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0</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ht="15.5"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15.5"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ht="15.5"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15.5" outlineLevel="1">
      <c r="A297" s="524">
        <v>24</v>
      </c>
      <c r="B297" s="522"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5"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ht="15.5"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5" outlineLevel="1">
      <c r="B300" s="290"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t="15.5"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ht="15.5"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ht="15.5"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t="15.5" outlineLevel="1">
      <c r="A304" s="524">
        <v>26</v>
      </c>
      <c r="B304" s="522"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8"/>
      <c r="Z304" s="412"/>
      <c r="AA304" s="412"/>
      <c r="AB304" s="412"/>
      <c r="AC304" s="412"/>
      <c r="AD304" s="412"/>
      <c r="AE304" s="412"/>
      <c r="AF304" s="412"/>
      <c r="AG304" s="417"/>
      <c r="AH304" s="417"/>
      <c r="AI304" s="417"/>
      <c r="AJ304" s="417"/>
      <c r="AK304" s="417"/>
      <c r="AL304" s="417"/>
      <c r="AM304" s="298">
        <f>SUM(Y304:AL304)</f>
        <v>0</v>
      </c>
    </row>
    <row r="305" spans="1:39" ht="15.5"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0</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ht="15.5"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1"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ht="15.5"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ht="15.5"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1"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t="15.5"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ht="15.5"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1"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t="15.5"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ht="15.5"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1"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t="15.5"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ht="15.5"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1"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t="15.5"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ht="15.5"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15.5"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t="15.5"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ht="15.5"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5" outlineLevel="1">
      <c r="B325" s="290"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t="15.5"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ht="15.5"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ht="15.5"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t="15.5"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t="15.5"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ht="15.5"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t="15.5"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t="15.5"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ht="15.5"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5" outlineLevel="1">
      <c r="B335" s="290"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6.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ht="15.5"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ht="15.5"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1"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t="15.5"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ht="15.5"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15.5"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t="15.5"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ht="15.5"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1"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t="15.5"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ht="15.5"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1"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t="15.5"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ht="15.5"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6.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t="15.5"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ht="15.5"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31"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t="15.5" outlineLevel="1">
      <c r="B355" s="296" t="s">
        <v>290</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ht="15.5"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15.5"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t="15.5"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ht="15.5"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6.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t="15.5"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ht="15.5"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1"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t="15.5"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ht="15.5"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1"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t="15.5"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ht="15.5"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1"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t="15.5"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ht="15.5"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31"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t="15.5"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ht="15.5"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1"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t="15.5"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ht="15.5"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5">
      <c r="B378" s="329" t="s">
        <v>275</v>
      </c>
      <c r="C378" s="331"/>
      <c r="D378" s="331">
        <f>SUM(D221:D376)</f>
        <v>0</v>
      </c>
      <c r="E378" s="331"/>
      <c r="F378" s="331"/>
      <c r="G378" s="331"/>
      <c r="H378" s="331"/>
      <c r="I378" s="331"/>
      <c r="J378" s="331"/>
      <c r="K378" s="331"/>
      <c r="L378" s="331"/>
      <c r="M378" s="331"/>
      <c r="N378" s="331"/>
      <c r="O378" s="331">
        <f>SUM(O221:O376)</f>
        <v>0</v>
      </c>
      <c r="P378" s="331"/>
      <c r="Q378" s="331"/>
      <c r="R378" s="331"/>
      <c r="S378" s="331"/>
      <c r="T378" s="331"/>
      <c r="U378" s="331"/>
      <c r="V378" s="331"/>
      <c r="W378" s="331"/>
      <c r="X378" s="331"/>
      <c r="Y378" s="331">
        <f>IF(Y219="kWh",SUMPRODUCT(D221:D376,Y221:Y376))</f>
        <v>0</v>
      </c>
      <c r="Z378" s="331">
        <f>IF(Z219="kWh",SUMPRODUCT(D221:D376,Z221:Z376))</f>
        <v>0</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511521</v>
      </c>
      <c r="Z379" s="394">
        <f>HLOOKUP(Z218,'2. LRAMVA Threshold'!$B$42:$Q$53,8,FALSE)</f>
        <v>183184</v>
      </c>
      <c r="AA379" s="394">
        <f>HLOOKUP(AA218,'2. LRAMVA Threshold'!$B$42:$Q$53,8,FALSE)</f>
        <v>959</v>
      </c>
      <c r="AB379" s="394">
        <f>HLOOKUP(AB218,'2. LRAMVA Threshold'!$B$42:$Q$53,8,FALSE)</f>
        <v>24</v>
      </c>
      <c r="AC379" s="394">
        <f>HLOOKUP(AC218,'2. LRAMVA Threshold'!$B$42:$Q$53,8,FALSE)</f>
        <v>190</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ht="15.5">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ht="15.5">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9.7999999999999997E-3</v>
      </c>
      <c r="Z381" s="343">
        <f>HLOOKUP(Z$35,'3.  Distribution Rates'!$C$122:$P$133,8,FALSE)</f>
        <v>8.0999999999999996E-3</v>
      </c>
      <c r="AA381" s="343">
        <f>HLOOKUP(AA$35,'3.  Distribution Rates'!$C$122:$P$133,8,FALSE)</f>
        <v>1.3190999999999999</v>
      </c>
      <c r="AB381" s="343">
        <f>HLOOKUP(AB$35,'3.  Distribution Rates'!$C$122:$P$133,8,FALSE)</f>
        <v>27.712199999999999</v>
      </c>
      <c r="AC381" s="343">
        <f>HLOOKUP(AC$35,'3.  Distribution Rates'!$C$122:$P$133,8,FALSE)</f>
        <v>8.6999999999999994E-3</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ht="15.5">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358.136539916576</v>
      </c>
      <c r="Z382" s="380">
        <f>'4.  2011-2014 LRAM'!Z139*Z381</f>
        <v>48.489628480381398</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406.62616839695738</v>
      </c>
    </row>
    <row r="383" spans="1:42" ht="15.5">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307.75131635194168</v>
      </c>
      <c r="Z383" s="380">
        <f>'4.  2011-2014 LRAM'!Z268*Z381</f>
        <v>353.54408193942663</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661.29539829136831</v>
      </c>
    </row>
    <row r="384" spans="1:42" ht="15.5">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621.4888322734098</v>
      </c>
      <c r="Z384" s="380">
        <f>'4.  2011-2014 LRAM'!Z397*Z381</f>
        <v>718.09839342443524</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1339.587225697845</v>
      </c>
    </row>
    <row r="385" spans="2:39" ht="15.5">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2016.1542460256544</v>
      </c>
      <c r="Z385" s="380">
        <f>'4.  2011-2014 LRAM'!Z527*Z381</f>
        <v>394.93030258799996</v>
      </c>
      <c r="AA385" s="380">
        <f>'4.  2011-2014 LRAM'!AA527*AA381</f>
        <v>174.06923985954</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2585.1537884731947</v>
      </c>
    </row>
    <row r="386" spans="2:39" ht="15.5">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1159.3106</v>
      </c>
      <c r="Z386" s="380">
        <f t="shared" si="1124"/>
        <v>351.96119999999996</v>
      </c>
      <c r="AA386" s="380">
        <f t="shared" si="1124"/>
        <v>1.5829200000000001</v>
      </c>
      <c r="AB386" s="380">
        <f t="shared" si="1124"/>
        <v>631.8381599999999</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2144.6928800000001</v>
      </c>
    </row>
    <row r="387" spans="2:39" ht="15.5">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0</v>
      </c>
      <c r="Z387" s="380">
        <f t="shared" ref="Z387:AL387" si="1125">Z378*Z381</f>
        <v>0</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0</v>
      </c>
    </row>
    <row r="388" spans="2:39" ht="15.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4462.8415345675821</v>
      </c>
      <c r="Z388" s="348">
        <f t="shared" ref="Z388:AE388" si="1126">SUM(Z382:Z387)</f>
        <v>1867.0236064322432</v>
      </c>
      <c r="AA388" s="348">
        <f t="shared" si="1126"/>
        <v>175.65215985954001</v>
      </c>
      <c r="AB388" s="348">
        <f t="shared" si="1126"/>
        <v>631.8381599999999</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7137.3554608593658</v>
      </c>
    </row>
    <row r="389" spans="2:39" ht="15.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5012.9057999999995</v>
      </c>
      <c r="Z389" s="349">
        <f t="shared" ref="Z389:AE389" si="1128">Z379*Z381</f>
        <v>1483.7903999999999</v>
      </c>
      <c r="AA389" s="349">
        <f t="shared" si="1128"/>
        <v>1265.0168999999999</v>
      </c>
      <c r="AB389" s="349">
        <f t="shared" si="1128"/>
        <v>665.09280000000001</v>
      </c>
      <c r="AC389" s="349">
        <f t="shared" si="1128"/>
        <v>1.6529999999999998</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8428.4588999999996</v>
      </c>
    </row>
    <row r="390" spans="2:39" ht="15.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-1291.1034391406338</v>
      </c>
    </row>
    <row r="391" spans="2:39" ht="15.5">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ht="15.5">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ht="15.5">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ht="15.5">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ht="15.5">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0</v>
      </c>
      <c r="Z395" s="328">
        <f>SUMPRODUCT(H221:H376,Z221:Z376)</f>
        <v>0</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595</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5">
      <c r="B399" s="282" t="s">
        <v>292</v>
      </c>
      <c r="C399" s="283"/>
      <c r="D399" s="592" t="s">
        <v>530</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1" t="s">
        <v>212</v>
      </c>
      <c r="C400" s="803" t="s">
        <v>33</v>
      </c>
      <c r="D400" s="286" t="s">
        <v>424</v>
      </c>
      <c r="E400" s="805" t="s">
        <v>210</v>
      </c>
      <c r="F400" s="806"/>
      <c r="G400" s="806"/>
      <c r="H400" s="806"/>
      <c r="I400" s="806"/>
      <c r="J400" s="806"/>
      <c r="K400" s="806"/>
      <c r="L400" s="806"/>
      <c r="M400" s="807"/>
      <c r="N400" s="808" t="s">
        <v>214</v>
      </c>
      <c r="O400" s="286" t="s">
        <v>425</v>
      </c>
      <c r="P400" s="805" t="s">
        <v>213</v>
      </c>
      <c r="Q400" s="806"/>
      <c r="R400" s="806"/>
      <c r="S400" s="806"/>
      <c r="T400" s="806"/>
      <c r="U400" s="806"/>
      <c r="V400" s="806"/>
      <c r="W400" s="806"/>
      <c r="X400" s="807"/>
      <c r="Y400" s="798" t="s">
        <v>244</v>
      </c>
      <c r="Z400" s="799"/>
      <c r="AA400" s="799"/>
      <c r="AB400" s="799"/>
      <c r="AC400" s="799"/>
      <c r="AD400" s="799"/>
      <c r="AE400" s="799"/>
      <c r="AF400" s="799"/>
      <c r="AG400" s="799"/>
      <c r="AH400" s="799"/>
      <c r="AI400" s="799"/>
      <c r="AJ400" s="799"/>
      <c r="AK400" s="799"/>
      <c r="AL400" s="799"/>
      <c r="AM400" s="800"/>
    </row>
    <row r="401" spans="1:39" ht="61.5" customHeight="1">
      <c r="B401" s="802"/>
      <c r="C401" s="804"/>
      <c r="D401" s="287">
        <v>2017</v>
      </c>
      <c r="E401" s="287">
        <v>2018</v>
      </c>
      <c r="F401" s="287">
        <v>2019</v>
      </c>
      <c r="G401" s="287">
        <v>2020</v>
      </c>
      <c r="H401" s="287">
        <v>2021</v>
      </c>
      <c r="I401" s="287">
        <v>2022</v>
      </c>
      <c r="J401" s="287">
        <v>2023</v>
      </c>
      <c r="K401" s="287">
        <v>2024</v>
      </c>
      <c r="L401" s="287">
        <v>2025</v>
      </c>
      <c r="M401" s="287">
        <v>2026</v>
      </c>
      <c r="N401" s="809"/>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 &gt; 50 to 4,999 Kw</v>
      </c>
      <c r="AB401" s="287" t="str">
        <f>'1.  LRAMVA Summary'!G50</f>
        <v>Street Lighting</v>
      </c>
      <c r="AC401" s="287" t="str">
        <f>'1.  LRAMVA Summary'!H50</f>
        <v>Unmetered Scattered Load</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kWh</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5" hidden="1" outlineLevel="1">
      <c r="A403" s="534"/>
      <c r="B403" s="506"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t="15.5"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t="15.5" hidden="1" outlineLevel="1">
      <c r="A405" s="534"/>
      <c r="B405" s="433" t="s">
        <v>309</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t="15.5"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t="15.5" hidden="1"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t="15.5"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t="15.5" hidden="1"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t="15.5"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t="15.5"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t="15.5" hidden="1"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t="15.5"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1"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t="15.5" hidden="1"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t="15.5"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5" hidden="1" outlineLevel="1">
      <c r="A419" s="534"/>
      <c r="B419" s="516"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t="15.5"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t="15.5" hidden="1" outlineLevel="1">
      <c r="A421" s="534"/>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t="15.5"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1"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t="15.5" hidden="1"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t="15.5"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1"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t="15.5" hidden="1"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t="15.5"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1"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t="15.5" hidden="1"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t="15.5"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1"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t="15.5" hidden="1" outlineLevel="1">
      <c r="A433" s="534"/>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t="15.5"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1"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t="15.5" hidden="1" outlineLevel="1">
      <c r="A437" s="534"/>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t="15.5"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31"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t="15.5" hidden="1"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t="15.5"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1"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t="15.5" hidden="1"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t="15.5"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t="15.5"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t="15.5" hidden="1" outlineLevel="1">
      <c r="A447" s="534"/>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t="15.5"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5" hidden="1" outlineLevel="1">
      <c r="A449" s="534"/>
      <c r="B449" s="506"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t="15.5" hidden="1" outlineLevel="1">
      <c r="A450" s="534">
        <v>15</v>
      </c>
      <c r="B450" s="433"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t="15.5" hidden="1" outlineLevel="1">
      <c r="A451" s="534"/>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t="15.5"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t="15.5" hidden="1" outlineLevel="1">
      <c r="A453" s="534">
        <v>16</v>
      </c>
      <c r="B453" s="531"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t="15.5" hidden="1" outlineLevel="1">
      <c r="A454" s="534"/>
      <c r="B454" s="531"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t="15.5"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5" hidden="1" outlineLevel="1">
      <c r="A456" s="534"/>
      <c r="B456" s="532" t="s">
        <v>498</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t="15.5"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t="15.5" hidden="1" outlineLevel="1">
      <c r="A458" s="534"/>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t="15.5"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t="15.5"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t="15.5" hidden="1"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t="15.5"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t="15.5"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t="15.5" hidden="1"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t="15.5"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t="15.5"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t="15.5" hidden="1"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5" hidden="1" outlineLevel="1">
      <c r="A469" s="534"/>
      <c r="B469" s="526"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5" hidden="1" outlineLevel="1">
      <c r="A470" s="534"/>
      <c r="B470" s="50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t="15.5"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t="15.5" hidden="1" outlineLevel="1">
      <c r="A472" s="534"/>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t="15.5"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1"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t="15.5" hidden="1"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t="15.5"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15.5"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t="15.5" hidden="1"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t="15.5"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15.5"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t="15.5" hidden="1"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t="15.5"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5" hidden="1" outlineLevel="1">
      <c r="A483" s="534"/>
      <c r="B483" s="506"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t="15.5"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t="15.5" hidden="1" outlineLevel="1">
      <c r="A485" s="534"/>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t="15.5"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t="15.5"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t="15.5" hidden="1"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t="15.5"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1"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t="15.5" hidden="1"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t="15.5"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1"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t="15.5" hidden="1"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t="15.5"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1"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t="15.5" hidden="1" outlineLevel="1">
      <c r="A497" s="534"/>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t="15.5"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1"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t="15.5" hidden="1" outlineLevel="1">
      <c r="A500" s="534"/>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t="15.5"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1"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t="15.5" hidden="1"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t="15.5"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15.5"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t="15.5" hidden="1"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t="15.5"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5" hidden="1" outlineLevel="1">
      <c r="A508" s="534"/>
      <c r="B508" s="506"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t="15.5"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t="15.5" hidden="1" outlineLevel="1">
      <c r="A510" s="534"/>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t="15.5"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t="15.5"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t="15.5" hidden="1"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t="15.5"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t="15.5"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t="15.5" hidden="1"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t="15.5"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5" hidden="1" outlineLevel="1">
      <c r="A518" s="534"/>
      <c r="B518" s="506"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6.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t="15.5" hidden="1" outlineLevel="1">
      <c r="A520" s="534"/>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t="15.5"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1"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t="15.5" hidden="1"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t="15.5"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15.5"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t="15.5" hidden="1"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t="15.5"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1"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t="15.5" hidden="1"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t="15.5"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1"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t="15.5" hidden="1"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t="15.5"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6.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t="15.5" hidden="1"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t="15.5"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31"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t="15.5" hidden="1" outlineLevel="1">
      <c r="A538" s="534"/>
      <c r="B538" s="433" t="s">
        <v>309</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t="15.5"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15.5"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t="15.5" hidden="1" outlineLevel="1">
      <c r="A541" s="534"/>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t="15.5"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6.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t="15.5" hidden="1"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t="15.5"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1"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t="15.5" hidden="1"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t="15.5"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1"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t="15.5" hidden="1"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t="15.5"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1"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t="15.5" hidden="1"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t="15.5"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1"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t="15.5" hidden="1"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t="15.5"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1"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t="15.5" hidden="1"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t="15.5"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5" collapsed="1">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ht="15.5">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ht="15.5">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7.0000000000000001E-3</v>
      </c>
      <c r="Z564" s="343">
        <f>HLOOKUP(Z$35,'3.  Distribution Rates'!$C$122:$P$133,9,FALSE)</f>
        <v>8.2000000000000007E-3</v>
      </c>
      <c r="AA564" s="343">
        <f>HLOOKUP(AA$35,'3.  Distribution Rates'!$C$122:$P$133,9,FALSE)</f>
        <v>1.341</v>
      </c>
      <c r="AB564" s="343">
        <f>HLOOKUP(AB$35,'3.  Distribution Rates'!$C$122:$P$133,9,FALSE)</f>
        <v>28.1738</v>
      </c>
      <c r="AC564" s="343">
        <f>HLOOKUP(AC$35,'3.  Distribution Rates'!$C$122:$P$133,9,FALSE)</f>
        <v>8.8999999999999999E-3</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ht="15.5">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195.13893884332393</v>
      </c>
      <c r="Z565" s="380">
        <f>'4.  2011-2014 LRAM'!Z140*Z564</f>
        <v>7.6078236728987347</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202.74676251622267</v>
      </c>
    </row>
    <row r="566" spans="2:39" ht="15.5">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125.40138454970888</v>
      </c>
      <c r="Z566" s="380">
        <f>'4.  2011-2014 LRAM'!Z269*Z564</f>
        <v>98.023983219296042</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223.42536776900494</v>
      </c>
    </row>
    <row r="567" spans="2:39" ht="15.5">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414.06241244652199</v>
      </c>
      <c r="Z567" s="380">
        <f>'4.  2011-2014 LRAM'!Z398*Z564</f>
        <v>243.09837693556142</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657.16078938208341</v>
      </c>
    </row>
    <row r="568" spans="2:39" ht="15.5">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1414.7010143564105</v>
      </c>
      <c r="Z568" s="380">
        <f>'4.  2011-2014 LRAM'!Z528*Z564</f>
        <v>302.01207497000001</v>
      </c>
      <c r="AA568" s="380">
        <f>'4.  2011-2014 LRAM'!AA528*AA564</f>
        <v>176.95917720540001</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1893.6722665318105</v>
      </c>
    </row>
    <row r="569" spans="2:39" ht="15.5">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828.07900000000006</v>
      </c>
      <c r="Z569" s="380">
        <f t="shared" si="1700"/>
        <v>216.96380000000002</v>
      </c>
      <c r="AA569" s="380">
        <f t="shared" si="1700"/>
        <v>1.6092000000000002</v>
      </c>
      <c r="AB569" s="380">
        <f t="shared" si="1700"/>
        <v>642.36263999999994</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1689.0146400000003</v>
      </c>
    </row>
    <row r="570" spans="2:39" ht="15.5">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0</v>
      </c>
      <c r="Z570" s="380">
        <f t="shared" si="1701"/>
        <v>0</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0</v>
      </c>
    </row>
    <row r="571" spans="2:39" ht="15.5">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2977.3827501959654</v>
      </c>
      <c r="Z572" s="348">
        <f>SUM(Z565:Z571)</f>
        <v>867.70605879775621</v>
      </c>
      <c r="AA572" s="348">
        <f t="shared" ref="AA572:AE572" si="1703">SUM(AA565:AA571)</f>
        <v>178.5683772054</v>
      </c>
      <c r="AB572" s="348">
        <f t="shared" si="1703"/>
        <v>642.36263999999994</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4666.0198261991218</v>
      </c>
    </row>
    <row r="573" spans="2:39" ht="15.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4666.0198261991218</v>
      </c>
    </row>
    <row r="575" spans="2:39" ht="15.5">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ht="15.5">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ht="15.5">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ht="15.5">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595</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5">
      <c r="B582" s="282" t="s">
        <v>310</v>
      </c>
      <c r="C582" s="283"/>
      <c r="D582" s="592" t="s">
        <v>530</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1" t="s">
        <v>212</v>
      </c>
      <c r="C583" s="803" t="s">
        <v>33</v>
      </c>
      <c r="D583" s="286" t="s">
        <v>424</v>
      </c>
      <c r="E583" s="805" t="s">
        <v>210</v>
      </c>
      <c r="F583" s="806"/>
      <c r="G583" s="806"/>
      <c r="H583" s="806"/>
      <c r="I583" s="806"/>
      <c r="J583" s="806"/>
      <c r="K583" s="806"/>
      <c r="L583" s="806"/>
      <c r="M583" s="807"/>
      <c r="N583" s="808" t="s">
        <v>214</v>
      </c>
      <c r="O583" s="286" t="s">
        <v>425</v>
      </c>
      <c r="P583" s="805" t="s">
        <v>213</v>
      </c>
      <c r="Q583" s="806"/>
      <c r="R583" s="806"/>
      <c r="S583" s="806"/>
      <c r="T583" s="806"/>
      <c r="U583" s="806"/>
      <c r="V583" s="806"/>
      <c r="W583" s="806"/>
      <c r="X583" s="807"/>
      <c r="Y583" s="798" t="s">
        <v>244</v>
      </c>
      <c r="Z583" s="799"/>
      <c r="AA583" s="799"/>
      <c r="AB583" s="799"/>
      <c r="AC583" s="799"/>
      <c r="AD583" s="799"/>
      <c r="AE583" s="799"/>
      <c r="AF583" s="799"/>
      <c r="AG583" s="799"/>
      <c r="AH583" s="799"/>
      <c r="AI583" s="799"/>
      <c r="AJ583" s="799"/>
      <c r="AK583" s="799"/>
      <c r="AL583" s="799"/>
      <c r="AM583" s="800"/>
    </row>
    <row r="584" spans="1:39" ht="68.25" customHeight="1">
      <c r="B584" s="802"/>
      <c r="C584" s="804"/>
      <c r="D584" s="287">
        <v>2018</v>
      </c>
      <c r="E584" s="287">
        <v>2019</v>
      </c>
      <c r="F584" s="287">
        <v>2020</v>
      </c>
      <c r="G584" s="287">
        <v>2021</v>
      </c>
      <c r="H584" s="287">
        <v>2022</v>
      </c>
      <c r="I584" s="287">
        <v>2023</v>
      </c>
      <c r="J584" s="287">
        <v>2024</v>
      </c>
      <c r="K584" s="287">
        <v>2025</v>
      </c>
      <c r="L584" s="287">
        <v>2026</v>
      </c>
      <c r="M584" s="287">
        <v>2027</v>
      </c>
      <c r="N584" s="809"/>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 &gt; 50 to 4,999 Kw</v>
      </c>
      <c r="AB584" s="287" t="str">
        <f>'1.  LRAMVA Summary'!G50</f>
        <v>Street Lighting</v>
      </c>
      <c r="AC584" s="287" t="str">
        <f>'1.  LRAMVA Summary'!H50</f>
        <v>Unmetered Scattered Load</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kWh</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5" hidden="1" outlineLevel="1">
      <c r="A586" s="534"/>
      <c r="B586" s="506"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t="15.5"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t="15.5" hidden="1" outlineLevel="1">
      <c r="A588" s="534"/>
      <c r="B588" s="296" t="s">
        <v>311</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t="15.5"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t="15.5" hidden="1"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t="15.5"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t="15.5" hidden="1"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t="15.5"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t="15.5"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t="15.5" hidden="1"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t="15.5"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t="15.5" hidden="1"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t="15.5"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5" hidden="1" outlineLevel="1">
      <c r="A602" s="534"/>
      <c r="B602" s="321"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t="15.5"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t="15.5" hidden="1" outlineLevel="1">
      <c r="A604" s="534"/>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t="15.5"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1"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t="15.5" hidden="1"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t="15.5"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1"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t="15.5" hidden="1"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t="15.5"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1"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t="15.5" hidden="1"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t="15.5"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1"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t="15.5" hidden="1" outlineLevel="1">
      <c r="A616" s="534"/>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t="15.5"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1"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t="15.5" hidden="1" outlineLevel="1">
      <c r="A620" s="534"/>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t="15.5"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31"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t="15.5" hidden="1"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t="15.5"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1"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t="15.5" hidden="1"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t="15.5"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t="15.5"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t="15.5" hidden="1" outlineLevel="1">
      <c r="A630" s="534"/>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t="15.5"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5" hidden="1" outlineLevel="1">
      <c r="A632" s="534"/>
      <c r="B632" s="290"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t="15.5" hidden="1" outlineLevel="1">
      <c r="A633" s="534">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t="15.5" hidden="1" outlineLevel="1">
      <c r="A634" s="534"/>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t="15.5"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t="15.5" hidden="1" outlineLevel="1">
      <c r="A636" s="534">
        <v>16</v>
      </c>
      <c r="B636" s="326"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t="15.5" hidden="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t="15.5"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5" hidden="1" outlineLevel="1">
      <c r="A639" s="534"/>
      <c r="B639" s="521" t="s">
        <v>498</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t="15.5"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t="15.5" hidden="1" outlineLevel="1">
      <c r="A641" s="534"/>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t="15.5"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t="15.5"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t="15.5" hidden="1"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t="15.5"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t="15.5"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t="15.5" hidden="1"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t="15.5"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t="15.5"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t="15.5" hidden="1"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5" hidden="1" outlineLevel="1">
      <c r="A652" s="534"/>
      <c r="B652" s="520"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5" hidden="1" outlineLevel="1">
      <c r="A653" s="534"/>
      <c r="B653" s="506"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t="15.5"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t="15.5" hidden="1" outlineLevel="1">
      <c r="A655" s="534"/>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t="15.5"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1"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t="15.5" hidden="1"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t="15.5"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15.5"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t="15.5" hidden="1"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t="15.5"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15.5"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t="15.5" hidden="1"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t="15.5"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5" hidden="1" outlineLevel="1">
      <c r="A666" s="534"/>
      <c r="B666" s="290"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t="15.5"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t="15.5" hidden="1" outlineLevel="1">
      <c r="A668" s="534"/>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t="15.5"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t="15.5"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t="15.5" hidden="1"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t="15.5"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1"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t="15.5" hidden="1"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t="15.5"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1"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t="15.5" hidden="1"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t="15.5"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1"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t="15.5" hidden="1" outlineLevel="1">
      <c r="A680" s="534"/>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t="15.5"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1"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t="15.5" hidden="1" outlineLevel="1">
      <c r="A683" s="534"/>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t="15.5"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1"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t="15.5" hidden="1"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t="15.5"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15.5"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t="15.5" hidden="1"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t="15.5"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5" hidden="1" outlineLevel="1">
      <c r="A691" s="534"/>
      <c r="B691" s="290"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t="15.5"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t="15.5" hidden="1" outlineLevel="1">
      <c r="A693" s="534"/>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t="15.5"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t="15.5"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t="15.5" hidden="1"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t="15.5"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t="15.5"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t="15.5" hidden="1"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t="15.5"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5" hidden="1" outlineLevel="1">
      <c r="A701" s="534"/>
      <c r="B701" s="290"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6.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t="15.5" hidden="1" outlineLevel="1">
      <c r="A703" s="534"/>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t="15.5"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1"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t="15.5" hidden="1"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t="15.5"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15.5"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t="15.5" hidden="1"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t="15.5"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1"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t="15.5" hidden="1"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t="15.5"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1"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t="15.5" hidden="1"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t="15.5"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6.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t="15.5" hidden="1"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t="15.5"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31"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t="15.5" hidden="1" outlineLevel="1">
      <c r="A721" s="534"/>
      <c r="B721" s="296" t="s">
        <v>311</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t="15.5"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15.5"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t="15.5" hidden="1" outlineLevel="1">
      <c r="A724" s="534"/>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t="15.5"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6.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t="15.5" hidden="1"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t="15.5"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1"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t="15.5" hidden="1"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t="15.5"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1"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t="15.5" hidden="1"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t="15.5"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1"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t="15.5" hidden="1"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t="15.5"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31"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t="15.5" hidden="1"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t="15.5"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1"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t="15.5" hidden="1"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t="15.5"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5"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5">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ht="15.5">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ht="15.5">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ht="15.5">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ht="15.5">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ht="15.5">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ht="15.5">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ht="15.5">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ht="15.5">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ht="15.5">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ht="15.5">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5">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5">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5">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ht="15.5">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ht="15.5">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ht="15.5">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595</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5">
      <c r="B765" s="282" t="s">
        <v>328</v>
      </c>
      <c r="C765" s="283"/>
      <c r="D765" s="592" t="s">
        <v>530</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1" t="s">
        <v>212</v>
      </c>
      <c r="C766" s="803" t="s">
        <v>33</v>
      </c>
      <c r="D766" s="286" t="s">
        <v>424</v>
      </c>
      <c r="E766" s="805" t="s">
        <v>210</v>
      </c>
      <c r="F766" s="806"/>
      <c r="G766" s="806"/>
      <c r="H766" s="806"/>
      <c r="I766" s="806"/>
      <c r="J766" s="806"/>
      <c r="K766" s="806"/>
      <c r="L766" s="806"/>
      <c r="M766" s="807"/>
      <c r="N766" s="808" t="s">
        <v>214</v>
      </c>
      <c r="O766" s="286" t="s">
        <v>425</v>
      </c>
      <c r="P766" s="805" t="s">
        <v>213</v>
      </c>
      <c r="Q766" s="806"/>
      <c r="R766" s="806"/>
      <c r="S766" s="806"/>
      <c r="T766" s="806"/>
      <c r="U766" s="806"/>
      <c r="V766" s="806"/>
      <c r="W766" s="806"/>
      <c r="X766" s="807"/>
      <c r="Y766" s="798" t="s">
        <v>244</v>
      </c>
      <c r="Z766" s="799"/>
      <c r="AA766" s="799"/>
      <c r="AB766" s="799"/>
      <c r="AC766" s="799"/>
      <c r="AD766" s="799"/>
      <c r="AE766" s="799"/>
      <c r="AF766" s="799"/>
      <c r="AG766" s="799"/>
      <c r="AH766" s="799"/>
      <c r="AI766" s="799"/>
      <c r="AJ766" s="799"/>
      <c r="AK766" s="799"/>
      <c r="AL766" s="799"/>
      <c r="AM766" s="800"/>
    </row>
    <row r="767" spans="1:40" ht="65.25" customHeight="1">
      <c r="B767" s="802"/>
      <c r="C767" s="804"/>
      <c r="D767" s="287">
        <v>2019</v>
      </c>
      <c r="E767" s="287">
        <v>2020</v>
      </c>
      <c r="F767" s="287">
        <v>2021</v>
      </c>
      <c r="G767" s="287">
        <v>2022</v>
      </c>
      <c r="H767" s="287">
        <v>2023</v>
      </c>
      <c r="I767" s="287">
        <v>2024</v>
      </c>
      <c r="J767" s="287">
        <v>2025</v>
      </c>
      <c r="K767" s="287">
        <v>2026</v>
      </c>
      <c r="L767" s="287">
        <v>2027</v>
      </c>
      <c r="M767" s="287">
        <v>2028</v>
      </c>
      <c r="N767" s="809"/>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 &gt; 50 to 4,999 Kw</v>
      </c>
      <c r="AB767" s="287" t="str">
        <f>'1.  LRAMVA Summary'!G50</f>
        <v>Street Lighting</v>
      </c>
      <c r="AC767" s="287" t="str">
        <f>'1.  LRAMVA Summary'!H50</f>
        <v>Unmetered Scattered Load</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kWh</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5" hidden="1" outlineLevel="1">
      <c r="A769" s="534"/>
      <c r="B769" s="506"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t="15.5"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t="15.5" hidden="1" outlineLevel="1">
      <c r="A771" s="534"/>
      <c r="B771" s="296" t="s">
        <v>343</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t="15.5"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t="15.5" hidden="1"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t="15.5"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t="15.5" hidden="1"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t="15.5"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t="15.5"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t="15.5" hidden="1"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t="15.5"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t="15.5"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5" hidden="1" outlineLevel="1">
      <c r="A785" s="534"/>
      <c r="B785" s="321"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t="15.5"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t="15.5" hidden="1" outlineLevel="1">
      <c r="A787" s="534"/>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t="15.5"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1"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t="15.5" hidden="1"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t="15.5"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1"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t="15.5" hidden="1"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t="15.5"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1"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t="15.5" hidden="1"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t="15.5"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1"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t="15.5" hidden="1" outlineLevel="1">
      <c r="A799" s="534"/>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t="15.5"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1"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t="15.5" hidden="1" outlineLevel="1">
      <c r="A803" s="534"/>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t="15.5"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31"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t="15.5" hidden="1"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t="15.5"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1"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t="15.5" hidden="1"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t="15.5"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t="15.5"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t="15.5" hidden="1" outlineLevel="1">
      <c r="A813" s="534"/>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t="15.5"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5" hidden="1" outlineLevel="1">
      <c r="A815" s="534"/>
      <c r="B815" s="290"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t="15.5" hidden="1" outlineLevel="1">
      <c r="A816" s="534">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t="15.5" hidden="1" outlineLevel="1">
      <c r="A817" s="534"/>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t="15.5"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t="15.5" hidden="1" outlineLevel="1">
      <c r="A819" s="534">
        <v>16</v>
      </c>
      <c r="B819" s="326"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t="15.5" hidden="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t="15.5"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5" hidden="1" outlineLevel="1">
      <c r="A822" s="534"/>
      <c r="B822" s="521" t="s">
        <v>498</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t="15.5"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t="15.5" hidden="1" outlineLevel="1">
      <c r="A824" s="534"/>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t="15.5"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t="15.5"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t="15.5" hidden="1"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t="15.5"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t="15.5"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t="15.5" hidden="1"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t="15.5"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t="15.5"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t="15.5" hidden="1"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5" hidden="1" outlineLevel="1">
      <c r="A835" s="534"/>
      <c r="B835" s="520"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5" hidden="1" outlineLevel="1">
      <c r="A836" s="534"/>
      <c r="B836" s="506"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t="15.5"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t="15.5" hidden="1" outlineLevel="1">
      <c r="A838" s="534"/>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t="15.5"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1"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t="15.5" hidden="1"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t="15.5"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15.5"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t="15.5" hidden="1"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t="15.5"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15.5"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t="15.5" hidden="1"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t="15.5"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5" hidden="1" outlineLevel="1">
      <c r="A849" s="534"/>
      <c r="B849" s="290"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t="15.5"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t="15.5" hidden="1" outlineLevel="1">
      <c r="A851" s="534"/>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t="15.5"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t="15.5"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t="15.5" hidden="1"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t="15.5"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1"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t="15.5" hidden="1"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t="15.5"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1"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t="15.5" hidden="1"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t="15.5"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1"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t="15.5" hidden="1" outlineLevel="1">
      <c r="A863" s="534"/>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t="15.5"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1"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t="15.5" hidden="1" outlineLevel="1">
      <c r="A866" s="534"/>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t="15.5"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1"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t="15.5" hidden="1"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t="15.5"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15.5"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t="15.5" hidden="1"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t="15.5"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5" hidden="1" outlineLevel="1">
      <c r="A874" s="534"/>
      <c r="B874" s="290"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t="15.5"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t="15.5" hidden="1" outlineLevel="1">
      <c r="A876" s="534"/>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t="15.5"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t="15.5"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t="15.5" hidden="1"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t="15.5"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t="15.5"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t="15.5" hidden="1"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t="15.5"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5" hidden="1" outlineLevel="1">
      <c r="A884" s="534"/>
      <c r="B884" s="290"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6.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t="15.5" hidden="1" outlineLevel="1">
      <c r="A886" s="534"/>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t="15.5"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1"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t="15.5" hidden="1"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t="15.5"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15.5"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t="15.5" hidden="1"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t="15.5"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1"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t="15.5" hidden="1"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t="15.5"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1"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t="15.5" hidden="1"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t="15.5"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6.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t="15.5" hidden="1"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t="15.5"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31"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t="15.5" hidden="1" outlineLevel="1">
      <c r="A904" s="534"/>
      <c r="B904" s="296" t="s">
        <v>343</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t="15.5"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15.5"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t="15.5" hidden="1" outlineLevel="1">
      <c r="A907" s="534"/>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t="15.5"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6.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t="15.5" hidden="1"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t="15.5"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1"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t="15.5" hidden="1"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t="15.5"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1"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t="15.5" hidden="1"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t="15.5"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1"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t="15.5" hidden="1"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t="15.5"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1"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t="15.5" hidden="1"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t="15.5"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1"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t="15.5" hidden="1"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t="15.5"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5"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5">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ht="15.5">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ht="15.5">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ht="15.5">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ht="15.5">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ht="15.5">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ht="15.5">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ht="15.5">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ht="15.5">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ht="15.5">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ht="15.5">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ht="15.5">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5">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5">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5">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ht="15.5">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ht="15.5">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595</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5">
      <c r="B948" s="282" t="s">
        <v>342</v>
      </c>
      <c r="C948" s="283"/>
      <c r="D948" s="592" t="s">
        <v>530</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1" t="s">
        <v>212</v>
      </c>
      <c r="C949" s="803" t="s">
        <v>33</v>
      </c>
      <c r="D949" s="286" t="s">
        <v>424</v>
      </c>
      <c r="E949" s="805" t="s">
        <v>210</v>
      </c>
      <c r="F949" s="806"/>
      <c r="G949" s="806"/>
      <c r="H949" s="806"/>
      <c r="I949" s="806"/>
      <c r="J949" s="806"/>
      <c r="K949" s="806"/>
      <c r="L949" s="806"/>
      <c r="M949" s="807"/>
      <c r="N949" s="808" t="s">
        <v>214</v>
      </c>
      <c r="O949" s="286" t="s">
        <v>425</v>
      </c>
      <c r="P949" s="805" t="s">
        <v>213</v>
      </c>
      <c r="Q949" s="806"/>
      <c r="R949" s="806"/>
      <c r="S949" s="806"/>
      <c r="T949" s="806"/>
      <c r="U949" s="806"/>
      <c r="V949" s="806"/>
      <c r="W949" s="806"/>
      <c r="X949" s="807"/>
      <c r="Y949" s="798" t="s">
        <v>244</v>
      </c>
      <c r="Z949" s="799"/>
      <c r="AA949" s="799"/>
      <c r="AB949" s="799"/>
      <c r="AC949" s="799"/>
      <c r="AD949" s="799"/>
      <c r="AE949" s="799"/>
      <c r="AF949" s="799"/>
      <c r="AG949" s="799"/>
      <c r="AH949" s="799"/>
      <c r="AI949" s="799"/>
      <c r="AJ949" s="799"/>
      <c r="AK949" s="799"/>
      <c r="AL949" s="799"/>
      <c r="AM949" s="800"/>
    </row>
    <row r="950" spans="1:39" ht="65.25" customHeight="1">
      <c r="B950" s="802"/>
      <c r="C950" s="804"/>
      <c r="D950" s="287">
        <v>2020</v>
      </c>
      <c r="E950" s="287">
        <v>2021</v>
      </c>
      <c r="F950" s="287">
        <v>2022</v>
      </c>
      <c r="G950" s="287">
        <v>2023</v>
      </c>
      <c r="H950" s="287">
        <v>2024</v>
      </c>
      <c r="I950" s="287">
        <v>2025</v>
      </c>
      <c r="J950" s="287">
        <v>2026</v>
      </c>
      <c r="K950" s="287">
        <v>2027</v>
      </c>
      <c r="L950" s="287">
        <v>2028</v>
      </c>
      <c r="M950" s="287">
        <v>2029</v>
      </c>
      <c r="N950" s="809"/>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 &gt; 50 to 4,999 Kw</v>
      </c>
      <c r="AB950" s="287" t="str">
        <f>'1.  LRAMVA Summary'!G50</f>
        <v>Street Lighting</v>
      </c>
      <c r="AC950" s="287" t="str">
        <f>'1.  LRAMVA Summary'!H50</f>
        <v>Unmetered Scattered Load</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kWh</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347</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5" hidden="1" outlineLevel="1">
      <c r="A968" s="534"/>
      <c r="B968" s="321"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5" hidden="1" outlineLevel="1">
      <c r="A998" s="534"/>
      <c r="B998" s="290"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t="15.5" hidden="1" outlineLevel="1">
      <c r="A999" s="534">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t="15.5" hidden="1" outlineLevel="1">
      <c r="A1000" s="534"/>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t="15.5"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t="15.5" hidden="1" outlineLevel="1">
      <c r="A1002" s="534">
        <v>16</v>
      </c>
      <c r="B1002" s="326"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t="15.5" hidden="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t="15.5"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5" hidden="1" outlineLevel="1">
      <c r="A1005" s="534"/>
      <c r="B1005" s="521" t="s">
        <v>498</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t="15.5"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t="15.5" hidden="1" outlineLevel="1">
      <c r="A1007" s="534"/>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t="15.5"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t="15.5"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t="15.5" hidden="1"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t="15.5"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t="15.5"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t="15.5" hidden="1"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t="15.5"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t="15.5"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t="15.5" hidden="1"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5" hidden="1" outlineLevel="1">
      <c r="A1018" s="534"/>
      <c r="B1018" s="520"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5" hidden="1" outlineLevel="1">
      <c r="A1019" s="534"/>
      <c r="B1019" s="506"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347</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5"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5">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ht="15.5">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ht="15.5">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ht="15.5">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ht="15.5">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ht="15.5">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ht="15.5">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ht="15.5">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ht="15.5">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ht="15.5">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ht="15.5">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ht="15.5">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ht="15.5">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5">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5">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5">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ht="15.5">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595</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530</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67" zoomScale="90" zoomScaleNormal="90" workbookViewId="0">
      <selection activeCell="D41" sqref="D41"/>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555</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508</v>
      </c>
      <c r="C8" s="813" t="s">
        <v>682</v>
      </c>
      <c r="D8" s="813"/>
      <c r="E8" s="813"/>
      <c r="F8" s="813"/>
      <c r="G8" s="813"/>
      <c r="H8" s="813"/>
      <c r="I8" s="813"/>
      <c r="J8" s="813"/>
      <c r="K8" s="813"/>
      <c r="L8" s="813"/>
      <c r="M8" s="813"/>
      <c r="N8" s="813"/>
      <c r="O8" s="813"/>
      <c r="P8" s="813"/>
      <c r="Q8" s="813"/>
      <c r="R8" s="813"/>
      <c r="S8" s="813"/>
      <c r="T8" s="107"/>
      <c r="U8" s="107"/>
      <c r="V8" s="107"/>
      <c r="W8" s="107"/>
    </row>
    <row r="9" spans="1:28" s="9" customFormat="1" ht="45" customHeight="1">
      <c r="B9" s="57"/>
      <c r="C9" s="813" t="s">
        <v>568</v>
      </c>
      <c r="D9" s="813"/>
      <c r="E9" s="813"/>
      <c r="F9" s="813"/>
      <c r="G9" s="813"/>
      <c r="H9" s="813"/>
      <c r="I9" s="813"/>
      <c r="J9" s="813"/>
      <c r="K9" s="813"/>
      <c r="L9" s="813"/>
      <c r="M9" s="813"/>
      <c r="N9" s="813"/>
      <c r="O9" s="813"/>
      <c r="P9" s="813"/>
      <c r="Q9" s="813"/>
      <c r="R9" s="813"/>
      <c r="S9" s="81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2" t="s">
        <v>236</v>
      </c>
      <c r="C12" s="812"/>
      <c r="D12" s="183"/>
      <c r="E12" s="184" t="s">
        <v>237</v>
      </c>
      <c r="F12" s="52"/>
      <c r="G12" s="52"/>
      <c r="H12" s="45"/>
      <c r="I12" s="52"/>
      <c r="K12" s="594" t="s">
        <v>539</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 &gt; 50 to 4,999 Kw</v>
      </c>
      <c r="L14" s="206" t="str">
        <f>'1.  LRAMVA Summary'!G50</f>
        <v>Street Lighting</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6.0203349791666666E-2</v>
      </c>
      <c r="J16" s="213">
        <f>SUM('1.  LRAMVA Summary'!E$52:E$53)*(MONTH($E16)-1)/12*$H16</f>
        <v>4.9496737499999995E-3</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6.515302354166666E-2</v>
      </c>
    </row>
    <row r="17" spans="2:23" s="9" customFormat="1">
      <c r="B17" s="215" t="s">
        <v>46</v>
      </c>
      <c r="C17" s="215">
        <v>1.47E-2</v>
      </c>
      <c r="D17" s="208"/>
      <c r="E17" s="209">
        <v>40603</v>
      </c>
      <c r="F17" s="210">
        <v>2011</v>
      </c>
      <c r="G17" s="211" t="s">
        <v>65</v>
      </c>
      <c r="H17" s="212">
        <f>C$15/12</f>
        <v>1.225E-3</v>
      </c>
      <c r="I17" s="213">
        <f>SUM('1.  LRAMVA Summary'!D$52:D$53)*(MONTH($E17)-1)/12*$H17</f>
        <v>0.12040669958333333</v>
      </c>
      <c r="J17" s="213">
        <f>SUM('1.  LRAMVA Summary'!E$52:E$53)*(MONTH($E17)-1)/12*$H17</f>
        <v>9.8993474999999991E-3</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0.13030604708333332</v>
      </c>
    </row>
    <row r="18" spans="2:23" s="9" customFormat="1">
      <c r="B18" s="215" t="s">
        <v>47</v>
      </c>
      <c r="C18" s="215">
        <v>1.47E-2</v>
      </c>
      <c r="D18" s="208"/>
      <c r="E18" s="216">
        <v>40634</v>
      </c>
      <c r="F18" s="210">
        <v>2011</v>
      </c>
      <c r="G18" s="217" t="s">
        <v>66</v>
      </c>
      <c r="H18" s="212">
        <f>C$16/12</f>
        <v>1.225E-3</v>
      </c>
      <c r="I18" s="213">
        <f>SUM('1.  LRAMVA Summary'!D$52:D$53)*(MONTH($E18)-1)/12*$H18</f>
        <v>0.180610049375</v>
      </c>
      <c r="J18" s="213">
        <f>SUM('1.  LRAMVA Summary'!E$52:E$53)*(MONTH($E18)-1)/12*$H18</f>
        <v>1.4849021249999997E-2</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0.19545907062500001</v>
      </c>
    </row>
    <row r="19" spans="2:23" s="9" customFormat="1">
      <c r="B19" s="215" t="s">
        <v>48</v>
      </c>
      <c r="C19" s="215">
        <v>1.47E-2</v>
      </c>
      <c r="D19" s="208"/>
      <c r="E19" s="216">
        <v>40664</v>
      </c>
      <c r="F19" s="210">
        <v>2011</v>
      </c>
      <c r="G19" s="217" t="s">
        <v>66</v>
      </c>
      <c r="H19" s="212">
        <f>C$16/12</f>
        <v>1.225E-3</v>
      </c>
      <c r="I19" s="213">
        <f>SUM('1.  LRAMVA Summary'!D$52:D$53)*(MONTH($E19)-1)/12*$H19</f>
        <v>0.24081339916666666</v>
      </c>
      <c r="J19" s="213">
        <f>SUM('1.  LRAMVA Summary'!E$52:E$53)*(MONTH($E19)-1)/12*$H19</f>
        <v>1.9798694999999998E-2</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0.26061209416666664</v>
      </c>
    </row>
    <row r="20" spans="2:23" s="9" customFormat="1">
      <c r="B20" s="215" t="s">
        <v>49</v>
      </c>
      <c r="C20" s="215">
        <v>1.47E-2</v>
      </c>
      <c r="D20" s="208"/>
      <c r="E20" s="216">
        <v>40695</v>
      </c>
      <c r="F20" s="210">
        <v>2011</v>
      </c>
      <c r="G20" s="217" t="s">
        <v>66</v>
      </c>
      <c r="H20" s="212">
        <f>C$16/12</f>
        <v>1.225E-3</v>
      </c>
      <c r="I20" s="213">
        <f>SUM('1.  LRAMVA Summary'!D$52:D$53)*(MONTH($E20)-1)/12*$H20</f>
        <v>0.30101674895833336</v>
      </c>
      <c r="J20" s="213">
        <f>SUM('1.  LRAMVA Summary'!E$52:E$53)*(MONTH($E20)-1)/12*$H20</f>
        <v>2.4748368749999996E-2</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0.32576511770833333</v>
      </c>
    </row>
    <row r="21" spans="2:23" s="9" customFormat="1">
      <c r="B21" s="215" t="s">
        <v>50</v>
      </c>
      <c r="C21" s="215">
        <v>1.47E-2</v>
      </c>
      <c r="D21" s="208"/>
      <c r="E21" s="216">
        <v>40725</v>
      </c>
      <c r="F21" s="210">
        <v>2011</v>
      </c>
      <c r="G21" s="217" t="s">
        <v>68</v>
      </c>
      <c r="H21" s="212">
        <f>C$17/12</f>
        <v>1.225E-3</v>
      </c>
      <c r="I21" s="213">
        <f>SUM('1.  LRAMVA Summary'!D$52:D$53)*(MONTH($E21)-1)/12*$H21</f>
        <v>0.36122009875</v>
      </c>
      <c r="J21" s="213">
        <f>SUM('1.  LRAMVA Summary'!E$52:E$53)*(MONTH($E21)-1)/12*$H21</f>
        <v>2.9698042499999994E-2</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0.39091814125000002</v>
      </c>
    </row>
    <row r="22" spans="2:23" s="9" customFormat="1">
      <c r="B22" s="215" t="s">
        <v>51</v>
      </c>
      <c r="C22" s="215">
        <v>1.47E-2</v>
      </c>
      <c r="D22" s="208"/>
      <c r="E22" s="216">
        <v>40756</v>
      </c>
      <c r="F22" s="210">
        <v>2011</v>
      </c>
      <c r="G22" s="217" t="s">
        <v>68</v>
      </c>
      <c r="H22" s="212">
        <f>C$17/12</f>
        <v>1.225E-3</v>
      </c>
      <c r="I22" s="213">
        <f>SUM('1.  LRAMVA Summary'!D$52:D$53)*(MONTH($E22)-1)/12*$H22</f>
        <v>0.42142344854166663</v>
      </c>
      <c r="J22" s="213">
        <f>SUM('1.  LRAMVA Summary'!E$52:E$53)*(MONTH($E22)-1)/12*$H22</f>
        <v>3.4647716249999995E-2</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0.45607116479166665</v>
      </c>
    </row>
    <row r="23" spans="2:23" s="9" customFormat="1">
      <c r="B23" s="215" t="s">
        <v>52</v>
      </c>
      <c r="C23" s="215">
        <v>1.47E-2</v>
      </c>
      <c r="D23" s="208"/>
      <c r="E23" s="216">
        <v>40787</v>
      </c>
      <c r="F23" s="210">
        <v>2011</v>
      </c>
      <c r="G23" s="217" t="s">
        <v>68</v>
      </c>
      <c r="H23" s="212">
        <f>C$17/12</f>
        <v>1.225E-3</v>
      </c>
      <c r="I23" s="213">
        <f>SUM('1.  LRAMVA Summary'!D$52:D$53)*(MONTH($E23)-1)/12*$H23</f>
        <v>0.48162679833333333</v>
      </c>
      <c r="J23" s="213">
        <f>SUM('1.  LRAMVA Summary'!E$52:E$53)*(MONTH($E23)-1)/12*$H23</f>
        <v>3.9597389999999996E-2</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0.52122418833333328</v>
      </c>
    </row>
    <row r="24" spans="2:23" s="9" customFormat="1">
      <c r="B24" s="215" t="s">
        <v>53</v>
      </c>
      <c r="C24" s="215">
        <v>1.47E-2</v>
      </c>
      <c r="D24" s="208"/>
      <c r="E24" s="216">
        <v>40817</v>
      </c>
      <c r="F24" s="210">
        <v>2011</v>
      </c>
      <c r="G24" s="217" t="s">
        <v>69</v>
      </c>
      <c r="H24" s="212">
        <f>C$18/12</f>
        <v>1.225E-3</v>
      </c>
      <c r="I24" s="213">
        <f>SUM('1.  LRAMVA Summary'!D$52:D$53)*(MONTH($E24)-1)/12*$H24</f>
        <v>0.54183014812500008</v>
      </c>
      <c r="J24" s="213">
        <f>SUM('1.  LRAMVA Summary'!E$52:E$53)*(MONTH($E24)-1)/12*$H24</f>
        <v>4.4547063749999997E-2</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0.58637721187500003</v>
      </c>
    </row>
    <row r="25" spans="2:23" s="9" customFormat="1">
      <c r="B25" s="215" t="s">
        <v>54</v>
      </c>
      <c r="C25" s="215">
        <v>1.47E-2</v>
      </c>
      <c r="D25" s="208"/>
      <c r="E25" s="216">
        <v>40848</v>
      </c>
      <c r="F25" s="210">
        <v>2011</v>
      </c>
      <c r="G25" s="217" t="s">
        <v>69</v>
      </c>
      <c r="H25" s="212">
        <f>C$18/12</f>
        <v>1.225E-3</v>
      </c>
      <c r="I25" s="213">
        <f>SUM('1.  LRAMVA Summary'!D$52:D$53)*(MONTH($E25)-1)/12*$H25</f>
        <v>0.60203349791666672</v>
      </c>
      <c r="J25" s="213">
        <f>SUM('1.  LRAMVA Summary'!E$52:E$53)*(MONTH($E25)-1)/12*$H25</f>
        <v>4.9496737499999992E-2</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0.65153023541666666</v>
      </c>
    </row>
    <row r="26" spans="2:23" s="9" customFormat="1">
      <c r="B26" s="215" t="s">
        <v>55</v>
      </c>
      <c r="C26" s="215">
        <v>1.47E-2</v>
      </c>
      <c r="D26" s="208"/>
      <c r="E26" s="216">
        <v>40878</v>
      </c>
      <c r="F26" s="210">
        <v>2011</v>
      </c>
      <c r="G26" s="217" t="s">
        <v>69</v>
      </c>
      <c r="H26" s="212">
        <f>C$18/12</f>
        <v>1.225E-3</v>
      </c>
      <c r="I26" s="213">
        <f>SUM('1.  LRAMVA Summary'!D$52:D$53)*(MONTH($E26)-1)/12*$H26</f>
        <v>0.66223684770833324</v>
      </c>
      <c r="J26" s="213">
        <f>SUM('1.  LRAMVA Summary'!E$52:E$53)*(MONTH($E26)-1)/12*$H26</f>
        <v>5.4446411249999986E-2</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0.71668325895833318</v>
      </c>
    </row>
    <row r="27" spans="2:23" s="9" customFormat="1" ht="15" thickBot="1">
      <c r="B27" s="215" t="s">
        <v>56</v>
      </c>
      <c r="C27" s="215">
        <v>1.47E-2</v>
      </c>
      <c r="D27" s="208"/>
      <c r="E27" s="218" t="s">
        <v>463</v>
      </c>
      <c r="F27" s="218"/>
      <c r="G27" s="219"/>
      <c r="H27" s="220"/>
      <c r="I27" s="221">
        <f>SUM(I15:I26)</f>
        <v>3.9734210862499997</v>
      </c>
      <c r="J27" s="221">
        <f t="shared" ref="J27:O27" si="1">SUM(J15:J26)</f>
        <v>0.32667846749999996</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4.30009955375</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3.9734210862499997</v>
      </c>
      <c r="J29" s="230">
        <f t="shared" ref="J29:M29" si="3">J27+J28</f>
        <v>0.32667846749999996</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4.30009955375</v>
      </c>
    </row>
    <row r="30" spans="2:23" s="9" customFormat="1">
      <c r="B30" s="215" t="s">
        <v>59</v>
      </c>
      <c r="C30" s="215">
        <v>1.47E-2</v>
      </c>
      <c r="D30" s="208"/>
      <c r="E30" s="216">
        <v>40909</v>
      </c>
      <c r="F30" s="216" t="s">
        <v>179</v>
      </c>
      <c r="G30" s="217" t="s">
        <v>65</v>
      </c>
      <c r="H30" s="231">
        <f>C$19/12</f>
        <v>1.225E-3</v>
      </c>
      <c r="I30" s="232">
        <f>(SUM('1.  LRAMVA Summary'!D$52:D$54)+SUM('1.  LRAMVA Summary'!D$55:D$56)*(MONTH($E30)-1)/12)*$H30</f>
        <v>0.72244019749999999</v>
      </c>
      <c r="J30" s="232">
        <f>(SUM('1.  LRAMVA Summary'!E$52:E$54)+SUM('1.  LRAMVA Summary'!E$55:E$56)*(MONTH($E30)-1)/12)*$H30</f>
        <v>5.9396084999999994E-2</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0.78183628250000003</v>
      </c>
    </row>
    <row r="31" spans="2:23" s="9" customFormat="1">
      <c r="B31" s="215" t="s">
        <v>60</v>
      </c>
      <c r="C31" s="215">
        <v>1.47E-2</v>
      </c>
      <c r="D31" s="208"/>
      <c r="E31" s="216">
        <v>40940</v>
      </c>
      <c r="F31" s="216" t="s">
        <v>179</v>
      </c>
      <c r="G31" s="217" t="s">
        <v>65</v>
      </c>
      <c r="H31" s="231">
        <f>C$19/12</f>
        <v>1.225E-3</v>
      </c>
      <c r="I31" s="232">
        <f>(SUM('1.  LRAMVA Summary'!D$52:D$54)+SUM('1.  LRAMVA Summary'!D$55:D$56)*(MONTH($E31)-1)/12)*$H31</f>
        <v>0.82004948187627635</v>
      </c>
      <c r="J31" s="232">
        <f>(SUM('1.  LRAMVA Summary'!E$52:E$54)+SUM('1.  LRAMVA Summary'!E$55:E$56)*(MONTH($E31)-1)/12)*$H31</f>
        <v>0.10746841964079659</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0.92751790151707292</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0.9176587662525526</v>
      </c>
      <c r="J32" s="232">
        <f>(SUM('1.  LRAMVA Summary'!E$52:E$54)+SUM('1.  LRAMVA Summary'!E$55:E$56)*(MONTH($E32)-1)/12)*$H32</f>
        <v>0.15554075428159322</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1.0731995205341458</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1.015268050628829</v>
      </c>
      <c r="J33" s="232">
        <f>(SUM('1.  LRAMVA Summary'!E$52:E$54)+SUM('1.  LRAMVA Summary'!E$55:E$56)*(MONTH($E33)-1)/12)*$H33</f>
        <v>0.20361308892238986</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1.2188811395512189</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1.1128773350051051</v>
      </c>
      <c r="J34" s="232">
        <f>(SUM('1.  LRAMVA Summary'!E$52:E$54)+SUM('1.  LRAMVA Summary'!E$55:E$56)*(MONTH($E34)-1)/12)*$H34</f>
        <v>0.25168542356318641</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1.3645627585682916</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1.2104866193813815</v>
      </c>
      <c r="J35" s="232">
        <f>(SUM('1.  LRAMVA Summary'!E$52:E$54)+SUM('1.  LRAMVA Summary'!E$55:E$56)*(MONTH($E35)-1)/12)*$H35</f>
        <v>0.29975775820398304</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1.5102443775853645</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1.3080959037576578</v>
      </c>
      <c r="J36" s="232">
        <f>(SUM('1.  LRAMVA Summary'!E$52:E$54)+SUM('1.  LRAMVA Summary'!E$55:E$56)*(MONTH($E36)-1)/12)*$H36</f>
        <v>0.34783009284477967</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1.6559259966024376</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1.405705188133934</v>
      </c>
      <c r="J37" s="232">
        <f>(SUM('1.  LRAMVA Summary'!E$52:E$54)+SUM('1.  LRAMVA Summary'!E$55:E$56)*(MONTH($E37)-1)/12)*$H37</f>
        <v>0.39590242748557636</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1.8016076156195102</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1.5033144725102103</v>
      </c>
      <c r="J38" s="232">
        <f>(SUM('1.  LRAMVA Summary'!E$52:E$54)+SUM('1.  LRAMVA Summary'!E$55:E$56)*(MONTH($E38)-1)/12)*$H38</f>
        <v>0.44397476212637293</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1.9472892346365833</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1.6009237568864867</v>
      </c>
      <c r="J39" s="232">
        <f>(SUM('1.  LRAMVA Summary'!E$52:E$54)+SUM('1.  LRAMVA Summary'!E$55:E$56)*(MONTH($E39)-1)/12)*$H39</f>
        <v>0.49204709676716957</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2.0929708536536564</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1.6985330412627631</v>
      </c>
      <c r="J40" s="232">
        <f>(SUM('1.  LRAMVA Summary'!E$52:E$54)+SUM('1.  LRAMVA Summary'!E$55:E$56)*(MONTH($E40)-1)/12)*$H40</f>
        <v>0.54011943140796614</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2.2386524726707293</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1.7961423256390394</v>
      </c>
      <c r="J41" s="232">
        <f>(SUM('1.  LRAMVA Summary'!E$52:E$54)+SUM('1.  LRAMVA Summary'!E$55:E$56)*(MONTH($E41)-1)/12)*$H41</f>
        <v>0.58819176604876289</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2.3843340916878022</v>
      </c>
    </row>
    <row r="42" spans="2:23" s="9" customFormat="1" ht="15" thickBot="1">
      <c r="B42" s="215" t="s">
        <v>80</v>
      </c>
      <c r="C42" s="235"/>
      <c r="D42" s="208"/>
      <c r="E42" s="218" t="s">
        <v>464</v>
      </c>
      <c r="F42" s="218"/>
      <c r="G42" s="219"/>
      <c r="H42" s="236"/>
      <c r="I42" s="221">
        <f>SUM(I29:I41)</f>
        <v>19.084916225084235</v>
      </c>
      <c r="J42" s="221">
        <f t="shared" ref="J42:O42" si="6">SUM(J29:J41)</f>
        <v>4.212205573792577</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23.297121798876812</v>
      </c>
    </row>
    <row r="43" spans="2:23" s="9" customFormat="1" ht="1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19.084916225084235</v>
      </c>
      <c r="J44" s="230">
        <f t="shared" si="8"/>
        <v>4.212205573792577</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23.297121798876812</v>
      </c>
    </row>
    <row r="45" spans="2:23" s="9" customFormat="1">
      <c r="B45" s="215" t="s">
        <v>83</v>
      </c>
      <c r="C45" s="235"/>
      <c r="D45" s="208"/>
      <c r="E45" s="216">
        <v>41275</v>
      </c>
      <c r="F45" s="216" t="s">
        <v>180</v>
      </c>
      <c r="G45" s="217" t="s">
        <v>65</v>
      </c>
      <c r="H45" s="234">
        <f>C$23/12</f>
        <v>1.225E-3</v>
      </c>
      <c r="I45" s="232">
        <f>(SUM('1.  LRAMVA Summary'!D$52:D$57)+SUM('1.  LRAMVA Summary'!D$58:D$59)*(MONTH($E45)-1)/12)*$H45</f>
        <v>1.8937516100153156</v>
      </c>
      <c r="J45" s="232">
        <f>(SUM('1.  LRAMVA Summary'!E$52:E$57)+SUM('1.  LRAMVA Summary'!E$58:E$59)*(MONTH($E45)-1)/12)*$H45</f>
        <v>0.63626410068955941</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2.5300157107048751</v>
      </c>
    </row>
    <row r="46" spans="2:23" s="9" customFormat="1">
      <c r="B46" s="215" t="s">
        <v>84</v>
      </c>
      <c r="C46" s="235"/>
      <c r="D46" s="208"/>
      <c r="E46" s="216">
        <v>41306</v>
      </c>
      <c r="F46" s="216" t="s">
        <v>180</v>
      </c>
      <c r="G46" s="217" t="s">
        <v>65</v>
      </c>
      <c r="H46" s="231">
        <f>C$23/12</f>
        <v>1.225E-3</v>
      </c>
      <c r="I46" s="232">
        <f>(SUM('1.  LRAMVA Summary'!D$52:D$57)+SUM('1.  LRAMVA Summary'!D$58:D$59)*(MONTH($E46)-1)/12)*$H46</f>
        <v>1.5164345951502389</v>
      </c>
      <c r="J46" s="232">
        <f>(SUM('1.  LRAMVA Summary'!E$52:E$57)+SUM('1.  LRAMVA Summary'!E$58:E$59)*(MONTH($E46)-1)/12)*$H46</f>
        <v>0.67717903819158576</v>
      </c>
      <c r="K46" s="232">
        <f>(SUM('1.  LRAMVA Summary'!F$52:F$57)+SUM('1.  LRAMVA Summary'!F$58:F$59)*(MONTH($E46)-1)/12)*$H46</f>
        <v>-0.13294537083333335</v>
      </c>
      <c r="L46" s="232">
        <f>(SUM('1.  LRAMVA Summary'!G$52:G$57)+SUM('1.  LRAMVA Summary'!G$58:G$59)*(MONTH($E46)-1)/12)*$H46</f>
        <v>-6.2383859999999999E-2</v>
      </c>
      <c r="M46" s="232">
        <f>(SUM('1.  LRAMVA Summary'!H$52:H$57)+SUM('1.  LRAMVA Summary'!H$58:H$59)*(MONTH($E46)-1)/12)*$H46</f>
        <v>-1.6292499999999996E-4</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1.9981214775084917</v>
      </c>
    </row>
    <row r="47" spans="2:23" s="9" customFormat="1">
      <c r="B47" s="215" t="s">
        <v>85</v>
      </c>
      <c r="C47" s="235"/>
      <c r="D47" s="208"/>
      <c r="E47" s="216">
        <v>41334</v>
      </c>
      <c r="F47" s="216" t="s">
        <v>180</v>
      </c>
      <c r="G47" s="217" t="s">
        <v>65</v>
      </c>
      <c r="H47" s="231">
        <f>C$23/12</f>
        <v>1.225E-3</v>
      </c>
      <c r="I47" s="232">
        <f>(SUM('1.  LRAMVA Summary'!D$52:D$57)+SUM('1.  LRAMVA Summary'!D$58:D$59)*(MONTH($E47)-1)/12)*$H47</f>
        <v>1.1391175802851625</v>
      </c>
      <c r="J47" s="232">
        <f>(SUM('1.  LRAMVA Summary'!E$52:E$57)+SUM('1.  LRAMVA Summary'!E$58:E$59)*(MONTH($E47)-1)/12)*$H47</f>
        <v>0.71809397569361222</v>
      </c>
      <c r="K47" s="232">
        <f>(SUM('1.  LRAMVA Summary'!F$52:F$57)+SUM('1.  LRAMVA Summary'!F$58:F$59)*(MONTH($E47)-1)/12)*$H47</f>
        <v>-0.26589074166666671</v>
      </c>
      <c r="L47" s="232">
        <f>(SUM('1.  LRAMVA Summary'!G$52:G$57)+SUM('1.  LRAMVA Summary'!G$58:G$59)*(MONTH($E47)-1)/12)*$H47</f>
        <v>-0.12476772</v>
      </c>
      <c r="M47" s="232">
        <f>(SUM('1.  LRAMVA Summary'!H$52:H$57)+SUM('1.  LRAMVA Summary'!H$58:H$59)*(MONTH($E47)-1)/12)*$H47</f>
        <v>-3.2584999999999992E-4</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1.466227244312108</v>
      </c>
    </row>
    <row r="48" spans="2:23" s="9" customFormat="1">
      <c r="B48" s="215" t="s">
        <v>86</v>
      </c>
      <c r="C48" s="235"/>
      <c r="D48" s="208"/>
      <c r="E48" s="216">
        <v>41365</v>
      </c>
      <c r="F48" s="216" t="s">
        <v>180</v>
      </c>
      <c r="G48" s="217" t="s">
        <v>66</v>
      </c>
      <c r="H48" s="234">
        <f>C$24/12</f>
        <v>1.225E-3</v>
      </c>
      <c r="I48" s="232">
        <f>(SUM('1.  LRAMVA Summary'!D$52:D$57)+SUM('1.  LRAMVA Summary'!D$58:D$59)*(MONTH($E48)-1)/12)*$H48</f>
        <v>0.76180056542008612</v>
      </c>
      <c r="J48" s="232">
        <f>(SUM('1.  LRAMVA Summary'!E$52:E$57)+SUM('1.  LRAMVA Summary'!E$58:E$59)*(MONTH($E48)-1)/12)*$H48</f>
        <v>0.75900891319563857</v>
      </c>
      <c r="K48" s="232">
        <f>(SUM('1.  LRAMVA Summary'!F$52:F$57)+SUM('1.  LRAMVA Summary'!F$58:F$59)*(MONTH($E48)-1)/12)*$H48</f>
        <v>-0.39883611250000001</v>
      </c>
      <c r="L48" s="232">
        <f>(SUM('1.  LRAMVA Summary'!G$52:G$57)+SUM('1.  LRAMVA Summary'!G$58:G$59)*(MONTH($E48)-1)/12)*$H48</f>
        <v>-0.18715158000000001</v>
      </c>
      <c r="M48" s="232">
        <f>(SUM('1.  LRAMVA Summary'!H$52:H$57)+SUM('1.  LRAMVA Summary'!H$58:H$59)*(MONTH($E48)-1)/12)*$H48</f>
        <v>-4.88775E-4</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0.93433301111572475</v>
      </c>
    </row>
    <row r="49" spans="1:23" s="9" customFormat="1">
      <c r="B49" s="215" t="s">
        <v>87</v>
      </c>
      <c r="C49" s="235"/>
      <c r="D49" s="208"/>
      <c r="E49" s="216">
        <v>41395</v>
      </c>
      <c r="F49" s="216" t="s">
        <v>180</v>
      </c>
      <c r="G49" s="217" t="s">
        <v>66</v>
      </c>
      <c r="H49" s="231">
        <f>C$24/12</f>
        <v>1.225E-3</v>
      </c>
      <c r="I49" s="232">
        <f>(SUM('1.  LRAMVA Summary'!D$52:D$57)+SUM('1.  LRAMVA Summary'!D$58:D$59)*(MONTH($E49)-1)/12)*$H49</f>
        <v>0.38448355055500955</v>
      </c>
      <c r="J49" s="232">
        <f>(SUM('1.  LRAMVA Summary'!E$52:E$57)+SUM('1.  LRAMVA Summary'!E$58:E$59)*(MONTH($E49)-1)/12)*$H49</f>
        <v>0.79992385069766492</v>
      </c>
      <c r="K49" s="232">
        <f>(SUM('1.  LRAMVA Summary'!F$52:F$57)+SUM('1.  LRAMVA Summary'!F$58:F$59)*(MONTH($E49)-1)/12)*$H49</f>
        <v>-0.53178148333333342</v>
      </c>
      <c r="L49" s="232">
        <f>(SUM('1.  LRAMVA Summary'!G$52:G$57)+SUM('1.  LRAMVA Summary'!G$58:G$59)*(MONTH($E49)-1)/12)*$H49</f>
        <v>-0.24953544</v>
      </c>
      <c r="M49" s="232">
        <f>(SUM('1.  LRAMVA Summary'!H$52:H$57)+SUM('1.  LRAMVA Summary'!H$58:H$59)*(MONTH($E49)-1)/12)*$H49</f>
        <v>-6.5169999999999985E-4</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0.40243877791934102</v>
      </c>
    </row>
    <row r="50" spans="1:23" s="9" customFormat="1">
      <c r="B50" s="215" t="s">
        <v>88</v>
      </c>
      <c r="C50" s="235"/>
      <c r="D50" s="208"/>
      <c r="E50" s="216">
        <v>41426</v>
      </c>
      <c r="F50" s="216" t="s">
        <v>180</v>
      </c>
      <c r="G50" s="217" t="s">
        <v>66</v>
      </c>
      <c r="H50" s="231">
        <f>C$24/12</f>
        <v>1.225E-3</v>
      </c>
      <c r="I50" s="232">
        <f>(SUM('1.  LRAMVA Summary'!D$52:D$57)+SUM('1.  LRAMVA Summary'!D$58:D$59)*(MONTH($E50)-1)/12)*$H50</f>
        <v>7.1665356899332545E-3</v>
      </c>
      <c r="J50" s="232">
        <f>(SUM('1.  LRAMVA Summary'!E$52:E$57)+SUM('1.  LRAMVA Summary'!E$58:E$59)*(MONTH($E50)-1)/12)*$H50</f>
        <v>0.84083878819969138</v>
      </c>
      <c r="K50" s="232">
        <f>(SUM('1.  LRAMVA Summary'!F$52:F$57)+SUM('1.  LRAMVA Summary'!F$58:F$59)*(MONTH($E50)-1)/12)*$H50</f>
        <v>-0.66472685416666666</v>
      </c>
      <c r="L50" s="232">
        <f>(SUM('1.  LRAMVA Summary'!G$52:G$57)+SUM('1.  LRAMVA Summary'!G$58:G$59)*(MONTH($E50)-1)/12)*$H50</f>
        <v>-0.31191930000000001</v>
      </c>
      <c r="M50" s="232">
        <f>(SUM('1.  LRAMVA Summary'!H$52:H$57)+SUM('1.  LRAMVA Summary'!H$58:H$59)*(MONTH($E50)-1)/12)*$H50</f>
        <v>-8.1462499999999992E-4</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-0.129455455277042</v>
      </c>
    </row>
    <row r="51" spans="1:23" s="9" customFormat="1">
      <c r="B51" s="215" t="s">
        <v>89</v>
      </c>
      <c r="C51" s="235"/>
      <c r="D51" s="208"/>
      <c r="E51" s="216">
        <v>41456</v>
      </c>
      <c r="F51" s="216" t="s">
        <v>180</v>
      </c>
      <c r="G51" s="217" t="s">
        <v>68</v>
      </c>
      <c r="H51" s="234">
        <f>C$25/12</f>
        <v>1.225E-3</v>
      </c>
      <c r="I51" s="232">
        <f>(SUM('1.  LRAMVA Summary'!D$52:D$57)+SUM('1.  LRAMVA Summary'!D$58:D$59)*(MONTH($E51)-1)/12)*$H51</f>
        <v>-0.37015047917514332</v>
      </c>
      <c r="J51" s="232">
        <f>(SUM('1.  LRAMVA Summary'!E$52:E$57)+SUM('1.  LRAMVA Summary'!E$58:E$59)*(MONTH($E51)-1)/12)*$H51</f>
        <v>0.88175372570171773</v>
      </c>
      <c r="K51" s="232">
        <f>(SUM('1.  LRAMVA Summary'!F$52:F$57)+SUM('1.  LRAMVA Summary'!F$58:F$59)*(MONTH($E51)-1)/12)*$H51</f>
        <v>-0.79767222500000001</v>
      </c>
      <c r="L51" s="232">
        <f>(SUM('1.  LRAMVA Summary'!G$52:G$57)+SUM('1.  LRAMVA Summary'!G$58:G$59)*(MONTH($E51)-1)/12)*$H51</f>
        <v>-0.37430316000000002</v>
      </c>
      <c r="M51" s="232">
        <f>(SUM('1.  LRAMVA Summary'!H$52:H$57)+SUM('1.  LRAMVA Summary'!H$58:H$59)*(MONTH($E51)-1)/12)*$H51</f>
        <v>-9.7754999999999999E-4</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-0.66134968847342557</v>
      </c>
    </row>
    <row r="52" spans="1:23" s="9" customFormat="1">
      <c r="B52" s="215" t="s">
        <v>91</v>
      </c>
      <c r="C52" s="235"/>
      <c r="D52" s="208"/>
      <c r="E52" s="216">
        <v>41487</v>
      </c>
      <c r="F52" s="216" t="s">
        <v>180</v>
      </c>
      <c r="G52" s="217" t="s">
        <v>68</v>
      </c>
      <c r="H52" s="231">
        <f>C$25/12</f>
        <v>1.225E-3</v>
      </c>
      <c r="I52" s="232">
        <f>(SUM('1.  LRAMVA Summary'!D$52:D$57)+SUM('1.  LRAMVA Summary'!D$58:D$59)*(MONTH($E52)-1)/12)*$H52</f>
        <v>-0.74746749404021962</v>
      </c>
      <c r="J52" s="232">
        <f>(SUM('1.  LRAMVA Summary'!E$52:E$57)+SUM('1.  LRAMVA Summary'!E$58:E$59)*(MONTH($E52)-1)/12)*$H52</f>
        <v>0.92266866320374397</v>
      </c>
      <c r="K52" s="232">
        <f>(SUM('1.  LRAMVA Summary'!F$52:F$57)+SUM('1.  LRAMVA Summary'!F$58:F$59)*(MONTH($E52)-1)/12)*$H52</f>
        <v>-0.93061759583333337</v>
      </c>
      <c r="L52" s="232">
        <f>(SUM('1.  LRAMVA Summary'!G$52:G$57)+SUM('1.  LRAMVA Summary'!G$58:G$59)*(MONTH($E52)-1)/12)*$H52</f>
        <v>-0.43668701999999998</v>
      </c>
      <c r="M52" s="232">
        <f>(SUM('1.  LRAMVA Summary'!H$52:H$57)+SUM('1.  LRAMVA Summary'!H$58:H$59)*(MONTH($E52)-1)/12)*$H52</f>
        <v>-1.140475E-3</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-1.193243921669809</v>
      </c>
    </row>
    <row r="53" spans="1:23" s="9" customFormat="1">
      <c r="B53" s="215" t="s">
        <v>90</v>
      </c>
      <c r="C53" s="235"/>
      <c r="D53" s="208"/>
      <c r="E53" s="216">
        <v>41518</v>
      </c>
      <c r="F53" s="216" t="s">
        <v>180</v>
      </c>
      <c r="G53" s="217" t="s">
        <v>68</v>
      </c>
      <c r="H53" s="231">
        <f>C$25/12</f>
        <v>1.225E-3</v>
      </c>
      <c r="I53" s="232">
        <f>(SUM('1.  LRAMVA Summary'!D$52:D$57)+SUM('1.  LRAMVA Summary'!D$58:D$59)*(MONTH($E53)-1)/12)*$H53</f>
        <v>-1.1247845089052964</v>
      </c>
      <c r="J53" s="232">
        <f>(SUM('1.  LRAMVA Summary'!E$52:E$57)+SUM('1.  LRAMVA Summary'!E$58:E$59)*(MONTH($E53)-1)/12)*$H53</f>
        <v>0.96358360070577032</v>
      </c>
      <c r="K53" s="232">
        <f>(SUM('1.  LRAMVA Summary'!F$52:F$57)+SUM('1.  LRAMVA Summary'!F$58:F$59)*(MONTH($E53)-1)/12)*$H53</f>
        <v>-1.0635629666666668</v>
      </c>
      <c r="L53" s="232">
        <f>(SUM('1.  LRAMVA Summary'!G$52:G$57)+SUM('1.  LRAMVA Summary'!G$58:G$59)*(MONTH($E53)-1)/12)*$H53</f>
        <v>-0.49907087999999999</v>
      </c>
      <c r="M53" s="232">
        <f>(SUM('1.  LRAMVA Summary'!H$52:H$57)+SUM('1.  LRAMVA Summary'!H$58:H$59)*(MONTH($E53)-1)/12)*$H53</f>
        <v>-1.3033999999999997E-3</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-1.7251381548661928</v>
      </c>
    </row>
    <row r="54" spans="1:23" s="9" customFormat="1">
      <c r="B54" s="237" t="s">
        <v>92</v>
      </c>
      <c r="C54" s="238"/>
      <c r="D54" s="208"/>
      <c r="E54" s="216">
        <v>41548</v>
      </c>
      <c r="F54" s="216" t="s">
        <v>180</v>
      </c>
      <c r="G54" s="217" t="s">
        <v>69</v>
      </c>
      <c r="H54" s="234">
        <f>C$26/12</f>
        <v>1.225E-3</v>
      </c>
      <c r="I54" s="232">
        <f>(SUM('1.  LRAMVA Summary'!D$52:D$57)+SUM('1.  LRAMVA Summary'!D$58:D$59)*(MONTH($E54)-1)/12)*$H54</f>
        <v>-1.5021015237703721</v>
      </c>
      <c r="J54" s="232">
        <f>(SUM('1.  LRAMVA Summary'!E$52:E$57)+SUM('1.  LRAMVA Summary'!E$58:E$59)*(MONTH($E54)-1)/12)*$H54</f>
        <v>1.0044985382077969</v>
      </c>
      <c r="K54" s="232">
        <f>(SUM('1.  LRAMVA Summary'!F$52:F$57)+SUM('1.  LRAMVA Summary'!F$58:F$59)*(MONTH($E54)-1)/12)*$H54</f>
        <v>-1.1965083375000001</v>
      </c>
      <c r="L54" s="232">
        <f>(SUM('1.  LRAMVA Summary'!G$52:G$57)+SUM('1.  LRAMVA Summary'!G$58:G$59)*(MONTH($E54)-1)/12)*$H54</f>
        <v>-0.56145474000000006</v>
      </c>
      <c r="M54" s="232">
        <f>(SUM('1.  LRAMVA Summary'!H$52:H$57)+SUM('1.  LRAMVA Summary'!H$58:H$59)*(MONTH($E54)-1)/12)*$H54</f>
        <v>-1.4663249999999997E-3</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-2.2570323880625756</v>
      </c>
    </row>
    <row r="55" spans="1:23" s="9" customFormat="1">
      <c r="D55" s="208"/>
      <c r="E55" s="216">
        <v>41579</v>
      </c>
      <c r="F55" s="216" t="s">
        <v>180</v>
      </c>
      <c r="G55" s="217" t="s">
        <v>69</v>
      </c>
      <c r="H55" s="231">
        <f>C$26/12</f>
        <v>1.225E-3</v>
      </c>
      <c r="I55" s="232">
        <f>(SUM('1.  LRAMVA Summary'!D$52:D$57)+SUM('1.  LRAMVA Summary'!D$58:D$59)*(MONTH($E55)-1)/12)*$H55</f>
        <v>-1.8794185386354489</v>
      </c>
      <c r="J55" s="232">
        <f>(SUM('1.  LRAMVA Summary'!E$52:E$57)+SUM('1.  LRAMVA Summary'!E$58:E$59)*(MONTH($E55)-1)/12)*$H55</f>
        <v>1.0454134757098232</v>
      </c>
      <c r="K55" s="232">
        <f>(SUM('1.  LRAMVA Summary'!F$52:F$57)+SUM('1.  LRAMVA Summary'!F$58:F$59)*(MONTH($E55)-1)/12)*$H55</f>
        <v>-1.3294537083333333</v>
      </c>
      <c r="L55" s="232">
        <f>(SUM('1.  LRAMVA Summary'!G$52:G$57)+SUM('1.  LRAMVA Summary'!G$58:G$59)*(MONTH($E55)-1)/12)*$H55</f>
        <v>-0.62383860000000002</v>
      </c>
      <c r="M55" s="232">
        <f>(SUM('1.  LRAMVA Summary'!H$52:H$57)+SUM('1.  LRAMVA Summary'!H$58:H$59)*(MONTH($E55)-1)/12)*$H55</f>
        <v>-1.6292499999999998E-3</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-2.7889266212589594</v>
      </c>
    </row>
    <row r="56" spans="1:23" s="9" customFormat="1" ht="15.5">
      <c r="B56" s="185" t="s">
        <v>183</v>
      </c>
      <c r="C56" s="27"/>
      <c r="D56" s="208"/>
      <c r="E56" s="216">
        <v>41609</v>
      </c>
      <c r="F56" s="216" t="s">
        <v>180</v>
      </c>
      <c r="G56" s="217" t="s">
        <v>69</v>
      </c>
      <c r="H56" s="231">
        <f>C$26/12</f>
        <v>1.225E-3</v>
      </c>
      <c r="I56" s="232">
        <f>(SUM('1.  LRAMVA Summary'!D$52:D$57)+SUM('1.  LRAMVA Summary'!D$58:D$59)*(MONTH($E56)-1)/12)*$H56</f>
        <v>-2.2567355535005258</v>
      </c>
      <c r="J56" s="232">
        <f>(SUM('1.  LRAMVA Summary'!E$52:E$57)+SUM('1.  LRAMVA Summary'!E$58:E$59)*(MONTH($E56)-1)/12)*$H56</f>
        <v>1.0863284132118494</v>
      </c>
      <c r="K56" s="232">
        <f>(SUM('1.  LRAMVA Summary'!F$52:F$57)+SUM('1.  LRAMVA Summary'!F$58:F$59)*(MONTH($E56)-1)/12)*$H56</f>
        <v>-1.4623990791666668</v>
      </c>
      <c r="L56" s="232">
        <f>(SUM('1.  LRAMVA Summary'!G$52:G$57)+SUM('1.  LRAMVA Summary'!G$58:G$59)*(MONTH($E56)-1)/12)*$H56</f>
        <v>-0.68622245999999998</v>
      </c>
      <c r="M56" s="232">
        <f>(SUM('1.  LRAMVA Summary'!H$52:H$57)+SUM('1.  LRAMVA Summary'!H$58:H$59)*(MONTH($E56)-1)/12)*$H56</f>
        <v>-1.7921749999999998E-3</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-3.3208208544553428</v>
      </c>
    </row>
    <row r="57" spans="1:23" s="9" customFormat="1" ht="15" thickBot="1">
      <c r="B57" s="27"/>
      <c r="C57" s="27"/>
      <c r="D57" s="208"/>
      <c r="E57" s="218" t="s">
        <v>465</v>
      </c>
      <c r="F57" s="218"/>
      <c r="G57" s="219"/>
      <c r="H57" s="220"/>
      <c r="I57" s="221">
        <f>SUM(I44:I56)</f>
        <v>16.907012564172977</v>
      </c>
      <c r="J57" s="221">
        <f t="shared" ref="J57:O57" si="11">SUM(J44:J56)</f>
        <v>14.547760657201028</v>
      </c>
      <c r="K57" s="221">
        <f t="shared" si="11"/>
        <v>-8.7743944750000011</v>
      </c>
      <c r="L57" s="221">
        <f t="shared" si="11"/>
        <v>-4.1173347599999994</v>
      </c>
      <c r="M57" s="221">
        <f t="shared" si="11"/>
        <v>-1.075305E-2</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18.552290936374007</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16.907012564172977</v>
      </c>
      <c r="J59" s="230">
        <f t="shared" si="13"/>
        <v>14.547760657201028</v>
      </c>
      <c r="K59" s="230">
        <f t="shared" si="13"/>
        <v>-8.7743944750000011</v>
      </c>
      <c r="L59" s="230">
        <f t="shared" si="13"/>
        <v>-4.1173347599999994</v>
      </c>
      <c r="M59" s="230">
        <f t="shared" si="13"/>
        <v>-1.075305E-2</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18.552290936374007</v>
      </c>
    </row>
    <row r="60" spans="1:23" s="9" customFormat="1">
      <c r="D60" s="208"/>
      <c r="E60" s="216">
        <v>41640</v>
      </c>
      <c r="F60" s="216" t="s">
        <v>181</v>
      </c>
      <c r="G60" s="217" t="s">
        <v>65</v>
      </c>
      <c r="H60" s="234">
        <f>C$27/12</f>
        <v>1.225E-3</v>
      </c>
      <c r="I60" s="232">
        <f>(SUM('1.  LRAMVA Summary'!D$52:D$60)+SUM('1.  LRAMVA Summary'!D$61:D$62)*(MONTH($E60)-1)/12)*$H60</f>
        <v>-2.6340525683656018</v>
      </c>
      <c r="J60" s="232">
        <f>(SUM('1.  LRAMVA Summary'!E$52:E$60)+SUM('1.  LRAMVA Summary'!E$61:E$62)*(MONTH($E60)-1)/12)*$H60</f>
        <v>1.1272433507138759</v>
      </c>
      <c r="K60" s="232">
        <f>(SUM('1.  LRAMVA Summary'!F$52:F$60)+SUM('1.  LRAMVA Summary'!F$61:F$62)*(MONTH($E60)-1)/12)*$H60</f>
        <v>-1.59534445</v>
      </c>
      <c r="L60" s="232">
        <f>(SUM('1.  LRAMVA Summary'!G$52:G$60)+SUM('1.  LRAMVA Summary'!G$61:G$62)*(MONTH($E60)-1)/12)*$H60</f>
        <v>-0.74860632000000005</v>
      </c>
      <c r="M60" s="232">
        <f>(SUM('1.  LRAMVA Summary'!H$52:H$60)+SUM('1.  LRAMVA Summary'!H$61:H$62)*(MONTH($E60)-1)/12)*$H60</f>
        <v>-1.9551E-3</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-3.8527150876517258</v>
      </c>
    </row>
    <row r="61" spans="1:23" s="9" customFormat="1">
      <c r="A61" s="28"/>
      <c r="E61" s="216">
        <v>41671</v>
      </c>
      <c r="F61" s="216" t="s">
        <v>181</v>
      </c>
      <c r="G61" s="217" t="s">
        <v>65</v>
      </c>
      <c r="H61" s="231">
        <f>C$27/12</f>
        <v>1.225E-3</v>
      </c>
      <c r="I61" s="232">
        <f>(SUM('1.  LRAMVA Summary'!D$52:D$60)+SUM('1.  LRAMVA Summary'!D$61:D$62)*(MONTH($E61)-1)/12)*$H61</f>
        <v>-2.7620044098403937</v>
      </c>
      <c r="J61" s="232">
        <f>(SUM('1.  LRAMVA Summary'!E$52:E$60)+SUM('1.  LRAMVA Summary'!E$61:E$62)*(MONTH($E61)-1)/12)*$H61</f>
        <v>1.2098171526767414</v>
      </c>
      <c r="K61" s="232">
        <f>(SUM('1.  LRAMVA Summary'!F$52:F$60)+SUM('1.  LRAMVA Summary'!F$61:F$62)*(MONTH($E61)-1)/12)*$H61</f>
        <v>-1.7045623772916667</v>
      </c>
      <c r="L61" s="232">
        <f>(SUM('1.  LRAMVA Summary'!G$52:G$60)+SUM('1.  LRAMVA Summary'!G$61:G$62)*(MONTH($E61)-1)/12)*$H61</f>
        <v>-0.81264049999999999</v>
      </c>
      <c r="M61" s="232">
        <f>(SUM('1.  LRAMVA Summary'!H$52:H$60)+SUM('1.  LRAMVA Summary'!H$61:H$62)*(MONTH($E61)-1)/12)*$H61</f>
        <v>-2.1199645833333328E-3</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-4.0715100990386528</v>
      </c>
    </row>
    <row r="62" spans="1:23" s="9" customFormat="1">
      <c r="B62" s="68"/>
      <c r="E62" s="216">
        <v>41699</v>
      </c>
      <c r="F62" s="216" t="s">
        <v>181</v>
      </c>
      <c r="G62" s="217" t="s">
        <v>65</v>
      </c>
      <c r="H62" s="231">
        <f>C$27/12</f>
        <v>1.225E-3</v>
      </c>
      <c r="I62" s="232">
        <f>(SUM('1.  LRAMVA Summary'!D$52:D$60)+SUM('1.  LRAMVA Summary'!D$61:D$62)*(MONTH($E62)-1)/12)*$H62</f>
        <v>-2.8899562513151857</v>
      </c>
      <c r="J62" s="232">
        <f>(SUM('1.  LRAMVA Summary'!E$52:E$60)+SUM('1.  LRAMVA Summary'!E$61:E$62)*(MONTH($E62)-1)/12)*$H62</f>
        <v>1.2923909546396068</v>
      </c>
      <c r="K62" s="232">
        <f>(SUM('1.  LRAMVA Summary'!F$52:F$60)+SUM('1.  LRAMVA Summary'!F$61:F$62)*(MONTH($E62)-1)/12)*$H62</f>
        <v>-1.8137803045833336</v>
      </c>
      <c r="L62" s="232">
        <f>(SUM('1.  LRAMVA Summary'!G$52:G$60)+SUM('1.  LRAMVA Summary'!G$61:G$62)*(MONTH($E62)-1)/12)*$H62</f>
        <v>-0.87667468000000004</v>
      </c>
      <c r="M62" s="232">
        <f>(SUM('1.  LRAMVA Summary'!H$52:H$60)+SUM('1.  LRAMVA Summary'!H$61:H$62)*(MONTH($E62)-1)/12)*$H62</f>
        <v>-2.2848291666666665E-3</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-4.2903051104255789</v>
      </c>
    </row>
    <row r="63" spans="1:23" s="9" customFormat="1">
      <c r="B63" s="68"/>
      <c r="E63" s="216">
        <v>41730</v>
      </c>
      <c r="F63" s="216" t="s">
        <v>181</v>
      </c>
      <c r="G63" s="217" t="s">
        <v>66</v>
      </c>
      <c r="H63" s="234">
        <f>C$28/12</f>
        <v>1.225E-3</v>
      </c>
      <c r="I63" s="232">
        <f>(SUM('1.  LRAMVA Summary'!D$52:D$60)+SUM('1.  LRAMVA Summary'!D$61:D$62)*(MONTH($E63)-1)/12)*$H63</f>
        <v>-3.0179080927899768</v>
      </c>
      <c r="J63" s="232">
        <f>(SUM('1.  LRAMVA Summary'!E$52:E$60)+SUM('1.  LRAMVA Summary'!E$61:E$62)*(MONTH($E63)-1)/12)*$H63</f>
        <v>1.3749647566024723</v>
      </c>
      <c r="K63" s="232">
        <f>(SUM('1.  LRAMVA Summary'!F$52:F$60)+SUM('1.  LRAMVA Summary'!F$61:F$62)*(MONTH($E63)-1)/12)*$H63</f>
        <v>-1.9229982318750001</v>
      </c>
      <c r="L63" s="232">
        <f>(SUM('1.  LRAMVA Summary'!G$52:G$60)+SUM('1.  LRAMVA Summary'!G$61:G$62)*(MONTH($E63)-1)/12)*$H63</f>
        <v>-0.94070885999999998</v>
      </c>
      <c r="M63" s="232">
        <f>(SUM('1.  LRAMVA Summary'!H$52:H$60)+SUM('1.  LRAMVA Summary'!H$61:H$62)*(MONTH($E63)-1)/12)*$H63</f>
        <v>-2.4496937499999998E-3</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-4.5091001218125051</v>
      </c>
    </row>
    <row r="64" spans="1:23" s="9" customFormat="1">
      <c r="B64" s="68"/>
      <c r="E64" s="216">
        <v>41760</v>
      </c>
      <c r="F64" s="216" t="s">
        <v>181</v>
      </c>
      <c r="G64" s="217" t="s">
        <v>66</v>
      </c>
      <c r="H64" s="231">
        <f>C$28/12</f>
        <v>1.225E-3</v>
      </c>
      <c r="I64" s="232">
        <f>(SUM('1.  LRAMVA Summary'!D$52:D$60)+SUM('1.  LRAMVA Summary'!D$61:D$62)*(MONTH($E64)-1)/12)*$H64</f>
        <v>-3.1458599342647688</v>
      </c>
      <c r="J64" s="232">
        <f>(SUM('1.  LRAMVA Summary'!E$52:E$60)+SUM('1.  LRAMVA Summary'!E$61:E$62)*(MONTH($E64)-1)/12)*$H64</f>
        <v>1.4575385585653375</v>
      </c>
      <c r="K64" s="232">
        <f>(SUM('1.  LRAMVA Summary'!F$52:F$60)+SUM('1.  LRAMVA Summary'!F$61:F$62)*(MONTH($E64)-1)/12)*$H64</f>
        <v>-2.0322161591666665</v>
      </c>
      <c r="L64" s="232">
        <f>(SUM('1.  LRAMVA Summary'!G$52:G$60)+SUM('1.  LRAMVA Summary'!G$61:G$62)*(MONTH($E64)-1)/12)*$H64</f>
        <v>-1.0047430399999999</v>
      </c>
      <c r="M64" s="232">
        <f>(SUM('1.  LRAMVA Summary'!H$52:H$60)+SUM('1.  LRAMVA Summary'!H$61:H$62)*(MONTH($E64)-1)/12)*$H64</f>
        <v>-2.6145583333333331E-3</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-4.7278951331994312</v>
      </c>
    </row>
    <row r="65" spans="2:23" s="9" customFormat="1">
      <c r="B65" s="68"/>
      <c r="E65" s="216">
        <v>41791</v>
      </c>
      <c r="F65" s="216" t="s">
        <v>181</v>
      </c>
      <c r="G65" s="217" t="s">
        <v>66</v>
      </c>
      <c r="H65" s="231">
        <f>C$28/12</f>
        <v>1.225E-3</v>
      </c>
      <c r="I65" s="232">
        <f>(SUM('1.  LRAMVA Summary'!D$52:D$60)+SUM('1.  LRAMVA Summary'!D$61:D$62)*(MONTH($E65)-1)/12)*$H65</f>
        <v>-3.2738117757395608</v>
      </c>
      <c r="J65" s="232">
        <f>(SUM('1.  LRAMVA Summary'!E$52:E$60)+SUM('1.  LRAMVA Summary'!E$61:E$62)*(MONTH($E65)-1)/12)*$H65</f>
        <v>1.5401123605282028</v>
      </c>
      <c r="K65" s="232">
        <f>(SUM('1.  LRAMVA Summary'!F$52:F$60)+SUM('1.  LRAMVA Summary'!F$61:F$62)*(MONTH($E65)-1)/12)*$H65</f>
        <v>-2.1414340864583337</v>
      </c>
      <c r="L65" s="232">
        <f>(SUM('1.  LRAMVA Summary'!G$52:G$60)+SUM('1.  LRAMVA Summary'!G$61:G$62)*(MONTH($E65)-1)/12)*$H65</f>
        <v>-1.0687772199999999</v>
      </c>
      <c r="M65" s="232">
        <f>(SUM('1.  LRAMVA Summary'!H$52:H$60)+SUM('1.  LRAMVA Summary'!H$61:H$62)*(MONTH($E65)-1)/12)*$H65</f>
        <v>-2.7794229166666668E-3</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-4.9466901445863583</v>
      </c>
    </row>
    <row r="66" spans="2:23" s="9" customFormat="1">
      <c r="B66" s="68"/>
      <c r="E66" s="216">
        <v>41821</v>
      </c>
      <c r="F66" s="216" t="s">
        <v>181</v>
      </c>
      <c r="G66" s="217" t="s">
        <v>68</v>
      </c>
      <c r="H66" s="234">
        <f>C$29/12</f>
        <v>1.225E-3</v>
      </c>
      <c r="I66" s="232">
        <f>(SUM('1.  LRAMVA Summary'!D$52:D$60)+SUM('1.  LRAMVA Summary'!D$61:D$62)*(MONTH($E66)-1)/12)*$H66</f>
        <v>-3.4017636172143524</v>
      </c>
      <c r="J66" s="232">
        <f>(SUM('1.  LRAMVA Summary'!E$52:E$60)+SUM('1.  LRAMVA Summary'!E$61:E$62)*(MONTH($E66)-1)/12)*$H66</f>
        <v>1.6226861624910685</v>
      </c>
      <c r="K66" s="232">
        <f>(SUM('1.  LRAMVA Summary'!F$52:F$60)+SUM('1.  LRAMVA Summary'!F$61:F$62)*(MONTH($E66)-1)/12)*$H66</f>
        <v>-2.2506520137500003</v>
      </c>
      <c r="L66" s="232">
        <f>(SUM('1.  LRAMVA Summary'!G$52:G$60)+SUM('1.  LRAMVA Summary'!G$61:G$62)*(MONTH($E66)-1)/12)*$H66</f>
        <v>-1.1328114</v>
      </c>
      <c r="M66" s="232">
        <f>(SUM('1.  LRAMVA Summary'!H$52:H$60)+SUM('1.  LRAMVA Summary'!H$61:H$62)*(MONTH($E66)-1)/12)*$H66</f>
        <v>-2.9442875E-3</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-5.1654851559732844</v>
      </c>
    </row>
    <row r="67" spans="2:23" s="9" customFormat="1">
      <c r="B67" s="68"/>
      <c r="E67" s="216">
        <v>41852</v>
      </c>
      <c r="F67" s="216" t="s">
        <v>181</v>
      </c>
      <c r="G67" s="217" t="s">
        <v>68</v>
      </c>
      <c r="H67" s="231">
        <f>C$29/12</f>
        <v>1.225E-3</v>
      </c>
      <c r="I67" s="232">
        <f>(SUM('1.  LRAMVA Summary'!D$52:D$60)+SUM('1.  LRAMVA Summary'!D$61:D$62)*(MONTH($E67)-1)/12)*$H67</f>
        <v>-3.5297154586891444</v>
      </c>
      <c r="J67" s="232">
        <f>(SUM('1.  LRAMVA Summary'!E$52:E$60)+SUM('1.  LRAMVA Summary'!E$61:E$62)*(MONTH($E67)-1)/12)*$H67</f>
        <v>1.7052599644539337</v>
      </c>
      <c r="K67" s="232">
        <f>(SUM('1.  LRAMVA Summary'!F$52:F$60)+SUM('1.  LRAMVA Summary'!F$61:F$62)*(MONTH($E67)-1)/12)*$H67</f>
        <v>-2.359869941041667</v>
      </c>
      <c r="L67" s="232">
        <f>(SUM('1.  LRAMVA Summary'!G$52:G$60)+SUM('1.  LRAMVA Summary'!G$61:G$62)*(MONTH($E67)-1)/12)*$H67</f>
        <v>-1.19684558</v>
      </c>
      <c r="M67" s="232">
        <f>(SUM('1.  LRAMVA Summary'!H$52:H$60)+SUM('1.  LRAMVA Summary'!H$61:H$62)*(MONTH($E67)-1)/12)*$H67</f>
        <v>-3.1091520833333333E-3</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-5.3842801673602114</v>
      </c>
    </row>
    <row r="68" spans="2:23" s="9" customFormat="1">
      <c r="B68" s="68"/>
      <c r="E68" s="216">
        <v>41883</v>
      </c>
      <c r="F68" s="216" t="s">
        <v>181</v>
      </c>
      <c r="G68" s="217" t="s">
        <v>68</v>
      </c>
      <c r="H68" s="231">
        <f>C$29/12</f>
        <v>1.225E-3</v>
      </c>
      <c r="I68" s="232">
        <f>(SUM('1.  LRAMVA Summary'!D$52:D$60)+SUM('1.  LRAMVA Summary'!D$61:D$62)*(MONTH($E68)-1)/12)*$H68</f>
        <v>-3.6576673001639364</v>
      </c>
      <c r="J68" s="232">
        <f>(SUM('1.  LRAMVA Summary'!E$52:E$60)+SUM('1.  LRAMVA Summary'!E$61:E$62)*(MONTH($E68)-1)/12)*$H68</f>
        <v>1.7878337664167991</v>
      </c>
      <c r="K68" s="232">
        <f>(SUM('1.  LRAMVA Summary'!F$52:F$60)+SUM('1.  LRAMVA Summary'!F$61:F$62)*(MONTH($E68)-1)/12)*$H68</f>
        <v>-2.4690878683333333</v>
      </c>
      <c r="L68" s="232">
        <f>(SUM('1.  LRAMVA Summary'!G$52:G$60)+SUM('1.  LRAMVA Summary'!G$61:G$62)*(MONTH($E68)-1)/12)*$H68</f>
        <v>-1.2608797600000001</v>
      </c>
      <c r="M68" s="232">
        <f>(SUM('1.  LRAMVA Summary'!H$52:H$60)+SUM('1.  LRAMVA Summary'!H$61:H$62)*(MONTH($E68)-1)/12)*$H68</f>
        <v>-3.2740166666666666E-3</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-5.6030751787471367</v>
      </c>
    </row>
    <row r="69" spans="2:23" s="9" customFormat="1">
      <c r="B69" s="68"/>
      <c r="E69" s="216">
        <v>41913</v>
      </c>
      <c r="F69" s="216" t="s">
        <v>181</v>
      </c>
      <c r="G69" s="217" t="s">
        <v>69</v>
      </c>
      <c r="H69" s="234">
        <f>C$30/12</f>
        <v>1.225E-3</v>
      </c>
      <c r="I69" s="232">
        <f>(SUM('1.  LRAMVA Summary'!D$52:D$60)+SUM('1.  LRAMVA Summary'!D$61:D$62)*(MONTH($E69)-1)/12)*$H69</f>
        <v>-3.7856191416387275</v>
      </c>
      <c r="J69" s="232">
        <f>(SUM('1.  LRAMVA Summary'!E$52:E$60)+SUM('1.  LRAMVA Summary'!E$61:E$62)*(MONTH($E69)-1)/12)*$H69</f>
        <v>1.8704075683796646</v>
      </c>
      <c r="K69" s="232">
        <f>(SUM('1.  LRAMVA Summary'!F$52:F$60)+SUM('1.  LRAMVA Summary'!F$61:F$62)*(MONTH($E69)-1)/12)*$H69</f>
        <v>-2.5783057956250004</v>
      </c>
      <c r="L69" s="232">
        <f>(SUM('1.  LRAMVA Summary'!G$52:G$60)+SUM('1.  LRAMVA Summary'!G$61:G$62)*(MONTH($E69)-1)/12)*$H69</f>
        <v>-1.3249139400000001</v>
      </c>
      <c r="M69" s="232">
        <f>(SUM('1.  LRAMVA Summary'!H$52:H$60)+SUM('1.  LRAMVA Summary'!H$61:H$62)*(MONTH($E69)-1)/12)*$H69</f>
        <v>-3.4388812499999998E-3</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-5.8218701901340637</v>
      </c>
    </row>
    <row r="70" spans="2:23" s="9" customFormat="1">
      <c r="B70" s="68"/>
      <c r="E70" s="216">
        <v>41944</v>
      </c>
      <c r="F70" s="216" t="s">
        <v>181</v>
      </c>
      <c r="G70" s="217" t="s">
        <v>69</v>
      </c>
      <c r="H70" s="231">
        <f>C$30/12</f>
        <v>1.225E-3</v>
      </c>
      <c r="I70" s="232">
        <f>(SUM('1.  LRAMVA Summary'!D$52:D$60)+SUM('1.  LRAMVA Summary'!D$61:D$62)*(MONTH($E70)-1)/12)*$H70</f>
        <v>-3.9135709831135195</v>
      </c>
      <c r="J70" s="232">
        <f>(SUM('1.  LRAMVA Summary'!E$52:E$60)+SUM('1.  LRAMVA Summary'!E$61:E$62)*(MONTH($E70)-1)/12)*$H70</f>
        <v>1.9529813703425301</v>
      </c>
      <c r="K70" s="232">
        <f>(SUM('1.  LRAMVA Summary'!F$52:F$60)+SUM('1.  LRAMVA Summary'!F$61:F$62)*(MONTH($E70)-1)/12)*$H70</f>
        <v>-2.6875237229166671</v>
      </c>
      <c r="L70" s="232">
        <f>(SUM('1.  LRAMVA Summary'!G$52:G$60)+SUM('1.  LRAMVA Summary'!G$61:G$62)*(MONTH($E70)-1)/12)*$H70</f>
        <v>-1.38894812</v>
      </c>
      <c r="M70" s="232">
        <f>(SUM('1.  LRAMVA Summary'!H$52:H$60)+SUM('1.  LRAMVA Summary'!H$61:H$62)*(MONTH($E70)-1)/12)*$H70</f>
        <v>-3.6037458333333331E-3</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-6.0406652015209898</v>
      </c>
    </row>
    <row r="71" spans="2:23" s="9" customFormat="1">
      <c r="B71" s="68"/>
      <c r="E71" s="216">
        <v>41974</v>
      </c>
      <c r="F71" s="216" t="s">
        <v>181</v>
      </c>
      <c r="G71" s="217" t="s">
        <v>69</v>
      </c>
      <c r="H71" s="231">
        <f>C$30/12</f>
        <v>1.225E-3</v>
      </c>
      <c r="I71" s="232">
        <f>(SUM('1.  LRAMVA Summary'!D$52:D$60)+SUM('1.  LRAMVA Summary'!D$61:D$62)*(MONTH($E71)-1)/12)*$H71</f>
        <v>-4.0415228245883119</v>
      </c>
      <c r="J71" s="232">
        <f>(SUM('1.  LRAMVA Summary'!E$52:E$60)+SUM('1.  LRAMVA Summary'!E$61:E$62)*(MONTH($E71)-1)/12)*$H71</f>
        <v>2.0355551723053957</v>
      </c>
      <c r="K71" s="232">
        <f>(SUM('1.  LRAMVA Summary'!F$52:F$60)+SUM('1.  LRAMVA Summary'!F$61:F$62)*(MONTH($E71)-1)/12)*$H71</f>
        <v>-2.7967416502083333</v>
      </c>
      <c r="L71" s="232">
        <f>(SUM('1.  LRAMVA Summary'!G$52:G$60)+SUM('1.  LRAMVA Summary'!G$61:G$62)*(MONTH($E71)-1)/12)*$H71</f>
        <v>-1.4529822999999999</v>
      </c>
      <c r="M71" s="232">
        <f>(SUM('1.  LRAMVA Summary'!H$52:H$60)+SUM('1.  LRAMVA Summary'!H$61:H$62)*(MONTH($E71)-1)/12)*$H71</f>
        <v>-3.7686104166666668E-3</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-6.2594602129079169</v>
      </c>
    </row>
    <row r="72" spans="2:23" s="9" customFormat="1" ht="15" thickBot="1">
      <c r="B72" s="68"/>
      <c r="E72" s="218" t="s">
        <v>466</v>
      </c>
      <c r="F72" s="218"/>
      <c r="G72" s="219"/>
      <c r="H72" s="220"/>
      <c r="I72" s="221">
        <f>SUM(I59:I71)</f>
        <v>-23.146439793550506</v>
      </c>
      <c r="J72" s="221">
        <f t="shared" ref="J72:V72" si="16">SUM(J59:J71)</f>
        <v>33.524551795316654</v>
      </c>
      <c r="K72" s="221">
        <f t="shared" si="16"/>
        <v>-35.126911076249996</v>
      </c>
      <c r="L72" s="221">
        <f t="shared" si="16"/>
        <v>-17.326866479999996</v>
      </c>
      <c r="M72" s="221">
        <f t="shared" si="16"/>
        <v>-4.5095312499999991E-2</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-42.120760866983851</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-23.146439793550506</v>
      </c>
      <c r="J74" s="230">
        <f t="shared" si="17"/>
        <v>33.524551795316654</v>
      </c>
      <c r="K74" s="230">
        <f t="shared" si="17"/>
        <v>-35.126911076249996</v>
      </c>
      <c r="L74" s="230">
        <f t="shared" si="17"/>
        <v>-17.326866479999996</v>
      </c>
      <c r="M74" s="230">
        <f t="shared" si="17"/>
        <v>-4.5095312499999991E-2</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-42.120760866983851</v>
      </c>
    </row>
    <row r="75" spans="2:23" s="9" customFormat="1">
      <c r="B75" s="68"/>
      <c r="E75" s="216">
        <v>42005</v>
      </c>
      <c r="F75" s="216" t="s">
        <v>182</v>
      </c>
      <c r="G75" s="217" t="s">
        <v>65</v>
      </c>
      <c r="H75" s="231">
        <f>C$31/12</f>
        <v>1.225E-3</v>
      </c>
      <c r="I75" s="232">
        <f>(SUM('1.  LRAMVA Summary'!D$52:D$63)+SUM('1.  LRAMVA Summary'!D$64:D$65)*(MONTH($E75)-1)/12)*$H75</f>
        <v>-4.1694746660631035</v>
      </c>
      <c r="J75" s="232">
        <f>(SUM('1.  LRAMVA Summary'!E$52:E$63)+SUM('1.  LRAMVA Summary'!E$64:E$65)*(MONTH($E75)-1)/12)*$H75</f>
        <v>2.1181289742682607</v>
      </c>
      <c r="K75" s="232">
        <f>(SUM('1.  LRAMVA Summary'!F$52:F$63)+SUM('1.  LRAMVA Summary'!F$64:F$65)*(MONTH($E75)-1)/12)*$H75</f>
        <v>-2.9059595775</v>
      </c>
      <c r="L75" s="232">
        <f>(SUM('1.  LRAMVA Summary'!G$52:G$63)+SUM('1.  LRAMVA Summary'!G$64:G$65)*(MONTH($E75)-1)/12)*$H75</f>
        <v>-1.5170164799999999</v>
      </c>
      <c r="M75" s="232">
        <f>(SUM('1.  LRAMVA Summary'!H$52:H$63)+SUM('1.  LRAMVA Summary'!H$64:H$65)*(MONTH($E75)-1)/12)*$H75</f>
        <v>-3.9334750000000005E-3</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-6.4782552242948421</v>
      </c>
    </row>
    <row r="76" spans="2:23" s="240" customFormat="1">
      <c r="B76" s="239"/>
      <c r="E76" s="216">
        <v>42036</v>
      </c>
      <c r="F76" s="216" t="s">
        <v>182</v>
      </c>
      <c r="G76" s="217" t="s">
        <v>65</v>
      </c>
      <c r="H76" s="231">
        <f t="shared" ref="H76:H77" si="19">C$31/12</f>
        <v>1.225E-3</v>
      </c>
      <c r="I76" s="232">
        <f>(SUM('1.  LRAMVA Summary'!D$52:D$63)+SUM('1.  LRAMVA Summary'!D$64:D$65)*(MONTH($E76)-1)/12)*$H76</f>
        <v>-4.1875521018583184</v>
      </c>
      <c r="J76" s="232">
        <f>(SUM('1.  LRAMVA Summary'!E$52:E$63)+SUM('1.  LRAMVA Summary'!E$64:E$65)*(MONTH($E76)-1)/12)*$H76</f>
        <v>2.2004778200818302</v>
      </c>
      <c r="K76" s="232">
        <f>(SUM('1.  LRAMVA Summary'!F$52:F$63)+SUM('1.  LRAMVA Summary'!F$64:F$65)*(MONTH($E76)-1)/12)*$H76</f>
        <v>-3.0123492473644027</v>
      </c>
      <c r="L76" s="232">
        <f>(SUM('1.  LRAMVA Summary'!G$52:G$63)+SUM('1.  LRAMVA Summary'!G$64:G$65)*(MONTH($E76)-1)/12)*$H76</f>
        <v>-0.31456382999999993</v>
      </c>
      <c r="M76" s="232">
        <f>(SUM('1.  LRAMVA Summary'!H$52:H$63)+SUM('1.  LRAMVA Summary'!H$64:H$65)*(MONTH($E76)-1)/12)*$H76</f>
        <v>-4.1002791666666667E-3</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-5.3180876383075582</v>
      </c>
    </row>
    <row r="77" spans="2:23" s="9" customFormat="1">
      <c r="B77" s="68"/>
      <c r="E77" s="216">
        <v>42064</v>
      </c>
      <c r="F77" s="216" t="s">
        <v>182</v>
      </c>
      <c r="G77" s="217" t="s">
        <v>65</v>
      </c>
      <c r="H77" s="231">
        <f t="shared" si="19"/>
        <v>1.225E-3</v>
      </c>
      <c r="I77" s="232">
        <f>(SUM('1.  LRAMVA Summary'!D$52:D$63)+SUM('1.  LRAMVA Summary'!D$64:D$65)*(MONTH($E77)-1)/12)*$H77</f>
        <v>-4.2056295376535342</v>
      </c>
      <c r="J77" s="232">
        <f>(SUM('1.  LRAMVA Summary'!E$52:E$63)+SUM('1.  LRAMVA Summary'!E$64:E$65)*(MONTH($E77)-1)/12)*$H77</f>
        <v>2.2828266658953997</v>
      </c>
      <c r="K77" s="232">
        <f>(SUM('1.  LRAMVA Summary'!F$52:F$63)+SUM('1.  LRAMVA Summary'!F$64:F$65)*(MONTH($E77)-1)/12)*$H77</f>
        <v>-3.1187389172288058</v>
      </c>
      <c r="L77" s="232">
        <f>(SUM('1.  LRAMVA Summary'!G$52:G$63)+SUM('1.  LRAMVA Summary'!G$64:G$65)*(MONTH($E77)-1)/12)*$H77</f>
        <v>0.88788881999999991</v>
      </c>
      <c r="M77" s="232">
        <f>(SUM('1.  LRAMVA Summary'!H$52:H$63)+SUM('1.  LRAMVA Summary'!H$64:H$65)*(MONTH($E77)-1)/12)*$H77</f>
        <v>-4.2670833333333337E-3</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-4.1579200523202742</v>
      </c>
    </row>
    <row r="78" spans="2:23" s="9" customFormat="1">
      <c r="B78" s="68"/>
      <c r="E78" s="216">
        <v>42095</v>
      </c>
      <c r="F78" s="216" t="s">
        <v>182</v>
      </c>
      <c r="G78" s="217" t="s">
        <v>66</v>
      </c>
      <c r="H78" s="231">
        <f>C$32/12</f>
        <v>9.1666666666666665E-4</v>
      </c>
      <c r="I78" s="232">
        <f>(SUM('1.  LRAMVA Summary'!D$52:D$63)+SUM('1.  LRAMVA Summary'!D$64:D$65)*(MONTH($E78)-1)/12)*$H78</f>
        <v>-3.1605970549616496</v>
      </c>
      <c r="J78" s="232">
        <f>(SUM('1.  LRAMVA Summary'!E$52:E$63)+SUM('1.  LRAMVA Summary'!E$64:E$65)*(MONTH($E78)-1)/12)*$H78</f>
        <v>1.7698592264488886</v>
      </c>
      <c r="K78" s="232">
        <f>(SUM('1.  LRAMVA Summary'!F$52:F$63)+SUM('1.  LRAMVA Summary'!F$64:F$65)*(MONTH($E78)-1)/12)*$H78</f>
        <v>-2.4133615277568228</v>
      </c>
      <c r="L78" s="232">
        <f>(SUM('1.  LRAMVA Summary'!G$52:G$63)+SUM('1.  LRAMVA Summary'!G$64:G$65)*(MONTH($E78)-1)/12)*$H78</f>
        <v>1.5642010999999998</v>
      </c>
      <c r="M78" s="232">
        <f>(SUM('1.  LRAMVA Summary'!H$52:H$63)+SUM('1.  LRAMVA Summary'!H$64:H$65)*(MONTH($E78)-1)/12)*$H78</f>
        <v>-3.3178750000000001E-3</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-2.2432161312695835</v>
      </c>
    </row>
    <row r="79" spans="2:23" s="9" customFormat="1">
      <c r="B79" s="68"/>
      <c r="E79" s="216">
        <v>42125</v>
      </c>
      <c r="F79" s="216" t="s">
        <v>182</v>
      </c>
      <c r="G79" s="217" t="s">
        <v>66</v>
      </c>
      <c r="H79" s="231">
        <f t="shared" ref="H79:H80" si="21">C$32/12</f>
        <v>9.1666666666666665E-4</v>
      </c>
      <c r="I79" s="232">
        <f>(SUM('1.  LRAMVA Summary'!D$52:D$63)+SUM('1.  LRAMVA Summary'!D$64:D$65)*(MONTH($E79)-1)/12)*$H79</f>
        <v>-3.1741243878696341</v>
      </c>
      <c r="J79" s="232">
        <f>(SUM('1.  LRAMVA Summary'!E$52:E$63)+SUM('1.  LRAMVA Summary'!E$64:E$65)*(MONTH($E79)-1)/12)*$H79</f>
        <v>1.8314808117515597</v>
      </c>
      <c r="K79" s="232">
        <f>(SUM('1.  LRAMVA Summary'!F$52:F$63)+SUM('1.  LRAMVA Summary'!F$64:F$65)*(MONTH($E79)-1)/12)*$H79</f>
        <v>-2.4929728453424302</v>
      </c>
      <c r="L79" s="232">
        <f>(SUM('1.  LRAMVA Summary'!G$52:G$63)+SUM('1.  LRAMVA Summary'!G$64:G$65)*(MONTH($E79)-1)/12)*$H79</f>
        <v>2.4639955999999996</v>
      </c>
      <c r="M79" s="232">
        <f>(SUM('1.  LRAMVA Summary'!H$52:H$63)+SUM('1.  LRAMVA Summary'!H$64:H$65)*(MONTH($E79)-1)/12)*$H79</f>
        <v>-3.4426944444444448E-3</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-1.3750635159049494</v>
      </c>
    </row>
    <row r="80" spans="2:23" s="9" customFormat="1">
      <c r="B80" s="68"/>
      <c r="E80" s="216">
        <v>42156</v>
      </c>
      <c r="F80" s="216" t="s">
        <v>182</v>
      </c>
      <c r="G80" s="217" t="s">
        <v>66</v>
      </c>
      <c r="H80" s="231">
        <f t="shared" si="21"/>
        <v>9.1666666666666665E-4</v>
      </c>
      <c r="I80" s="232">
        <f>(SUM('1.  LRAMVA Summary'!D$52:D$63)+SUM('1.  LRAMVA Summary'!D$64:D$65)*(MONTH($E80)-1)/12)*$H80</f>
        <v>-3.1876517207776183</v>
      </c>
      <c r="J80" s="232">
        <f>(SUM('1.  LRAMVA Summary'!E$52:E$63)+SUM('1.  LRAMVA Summary'!E$64:E$65)*(MONTH($E80)-1)/12)*$H80</f>
        <v>1.8931023970542309</v>
      </c>
      <c r="K80" s="232">
        <f>(SUM('1.  LRAMVA Summary'!F$52:F$63)+SUM('1.  LRAMVA Summary'!F$64:F$65)*(MONTH($E80)-1)/12)*$H80</f>
        <v>-2.5725841629280377</v>
      </c>
      <c r="L80" s="232">
        <f>(SUM('1.  LRAMVA Summary'!G$52:G$63)+SUM('1.  LRAMVA Summary'!G$64:G$65)*(MONTH($E80)-1)/12)*$H80</f>
        <v>3.3637900999999992</v>
      </c>
      <c r="M80" s="232">
        <f>(SUM('1.  LRAMVA Summary'!H$52:H$63)+SUM('1.  LRAMVA Summary'!H$64:H$65)*(MONTH($E80)-1)/12)*$H80</f>
        <v>-3.5675138888888892E-3</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-0.50691090054031451</v>
      </c>
    </row>
    <row r="81" spans="2:23" s="9" customFormat="1">
      <c r="B81" s="68"/>
      <c r="E81" s="216">
        <v>42186</v>
      </c>
      <c r="F81" s="216" t="s">
        <v>182</v>
      </c>
      <c r="G81" s="217" t="s">
        <v>68</v>
      </c>
      <c r="H81" s="231">
        <f>C$33/12</f>
        <v>9.1666666666666665E-4</v>
      </c>
      <c r="I81" s="232">
        <f>(SUM('1.  LRAMVA Summary'!D$52:D$63)+SUM('1.  LRAMVA Summary'!D$64:D$65)*(MONTH($E81)-1)/12)*$H81</f>
        <v>-3.2011790536856024</v>
      </c>
      <c r="J81" s="232">
        <f>(SUM('1.  LRAMVA Summary'!E$52:E$63)+SUM('1.  LRAMVA Summary'!E$64:E$65)*(MONTH($E81)-1)/12)*$H81</f>
        <v>1.9547239823569018</v>
      </c>
      <c r="K81" s="232">
        <f>(SUM('1.  LRAMVA Summary'!F$52:F$63)+SUM('1.  LRAMVA Summary'!F$64:F$65)*(MONTH($E81)-1)/12)*$H81</f>
        <v>-2.6521954805136452</v>
      </c>
      <c r="L81" s="232">
        <f>(SUM('1.  LRAMVA Summary'!G$52:G$63)+SUM('1.  LRAMVA Summary'!G$64:G$65)*(MONTH($E81)-1)/12)*$H81</f>
        <v>4.2635845999999997</v>
      </c>
      <c r="M81" s="232">
        <f>(SUM('1.  LRAMVA Summary'!H$52:H$63)+SUM('1.  LRAMVA Summary'!H$64:H$65)*(MONTH($E81)-1)/12)*$H81</f>
        <v>-3.6923333333333335E-3</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0.36124171482432038</v>
      </c>
    </row>
    <row r="82" spans="2:23" s="9" customFormat="1">
      <c r="B82" s="68"/>
      <c r="E82" s="216">
        <v>42217</v>
      </c>
      <c r="F82" s="216" t="s">
        <v>182</v>
      </c>
      <c r="G82" s="217" t="s">
        <v>68</v>
      </c>
      <c r="H82" s="231">
        <f t="shared" ref="H82:H83" si="22">C$33/12</f>
        <v>9.1666666666666665E-4</v>
      </c>
      <c r="I82" s="232">
        <f>(SUM('1.  LRAMVA Summary'!D$52:D$63)+SUM('1.  LRAMVA Summary'!D$64:D$65)*(MONTH($E82)-1)/12)*$H82</f>
        <v>-3.214706386593587</v>
      </c>
      <c r="J82" s="232">
        <f>(SUM('1.  LRAMVA Summary'!E$52:E$63)+SUM('1.  LRAMVA Summary'!E$64:E$65)*(MONTH($E82)-1)/12)*$H82</f>
        <v>2.016345567659573</v>
      </c>
      <c r="K82" s="232">
        <f>(SUM('1.  LRAMVA Summary'!F$52:F$63)+SUM('1.  LRAMVA Summary'!F$64:F$65)*(MONTH($E82)-1)/12)*$H82</f>
        <v>-2.7318067980992526</v>
      </c>
      <c r="L82" s="232">
        <f>(SUM('1.  LRAMVA Summary'!G$52:G$63)+SUM('1.  LRAMVA Summary'!G$64:G$65)*(MONTH($E82)-1)/12)*$H82</f>
        <v>5.1633790999999993</v>
      </c>
      <c r="M82" s="232">
        <f>(SUM('1.  LRAMVA Summary'!H$52:H$63)+SUM('1.  LRAMVA Summary'!H$64:H$65)*(MONTH($E82)-1)/12)*$H82</f>
        <v>-3.8171527777777778E-3</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1.2293943301889549</v>
      </c>
    </row>
    <row r="83" spans="2:23" s="9" customFormat="1">
      <c r="B83" s="68"/>
      <c r="E83" s="216">
        <v>42248</v>
      </c>
      <c r="F83" s="216" t="s">
        <v>182</v>
      </c>
      <c r="G83" s="217" t="s">
        <v>68</v>
      </c>
      <c r="H83" s="231">
        <f t="shared" si="22"/>
        <v>9.1666666666666665E-4</v>
      </c>
      <c r="I83" s="232">
        <f>(SUM('1.  LRAMVA Summary'!D$52:D$63)+SUM('1.  LRAMVA Summary'!D$64:D$65)*(MONTH($E83)-1)/12)*$H83</f>
        <v>-3.2282337195015711</v>
      </c>
      <c r="J83" s="232">
        <f>(SUM('1.  LRAMVA Summary'!E$52:E$63)+SUM('1.  LRAMVA Summary'!E$64:E$65)*(MONTH($E83)-1)/12)*$H83</f>
        <v>2.0779671529622439</v>
      </c>
      <c r="K83" s="232">
        <f>(SUM('1.  LRAMVA Summary'!F$52:F$63)+SUM('1.  LRAMVA Summary'!F$64:F$65)*(MONTH($E83)-1)/12)*$H83</f>
        <v>-2.8114181156848606</v>
      </c>
      <c r="L83" s="232">
        <f>(SUM('1.  LRAMVA Summary'!G$52:G$63)+SUM('1.  LRAMVA Summary'!G$64:G$65)*(MONTH($E83)-1)/12)*$H83</f>
        <v>6.0631735999999998</v>
      </c>
      <c r="M83" s="232">
        <f>(SUM('1.  LRAMVA Summary'!H$52:H$63)+SUM('1.  LRAMVA Summary'!H$64:H$65)*(MONTH($E83)-1)/12)*$H83</f>
        <v>-3.9419722222222226E-3</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2.09754694555359</v>
      </c>
    </row>
    <row r="84" spans="2:23" s="9" customFormat="1">
      <c r="B84" s="68"/>
      <c r="E84" s="216">
        <v>42278</v>
      </c>
      <c r="F84" s="216" t="s">
        <v>182</v>
      </c>
      <c r="G84" s="217" t="s">
        <v>69</v>
      </c>
      <c r="H84" s="231">
        <f>C$34/12</f>
        <v>9.1666666666666665E-4</v>
      </c>
      <c r="I84" s="232">
        <f>(SUM('1.  LRAMVA Summary'!D$52:D$63)+SUM('1.  LRAMVA Summary'!D$64:D$65)*(MONTH($E84)-1)/12)*$H84</f>
        <v>-3.2417610524095557</v>
      </c>
      <c r="J84" s="232">
        <f>(SUM('1.  LRAMVA Summary'!E$52:E$63)+SUM('1.  LRAMVA Summary'!E$64:E$65)*(MONTH($E84)-1)/12)*$H84</f>
        <v>2.1395887382649152</v>
      </c>
      <c r="K84" s="232">
        <f>(SUM('1.  LRAMVA Summary'!F$52:F$63)+SUM('1.  LRAMVA Summary'!F$64:F$65)*(MONTH($E84)-1)/12)*$H84</f>
        <v>-2.8910294332704676</v>
      </c>
      <c r="L84" s="232">
        <f>(SUM('1.  LRAMVA Summary'!G$52:G$63)+SUM('1.  LRAMVA Summary'!G$64:G$65)*(MONTH($E84)-1)/12)*$H84</f>
        <v>6.9629680999999994</v>
      </c>
      <c r="M84" s="232">
        <f>(SUM('1.  LRAMVA Summary'!H$52:H$63)+SUM('1.  LRAMVA Summary'!H$64:H$65)*(MONTH($E84)-1)/12)*$H84</f>
        <v>-4.0667916666666673E-3</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2.9656995609182246</v>
      </c>
    </row>
    <row r="85" spans="2:23" s="9" customFormat="1">
      <c r="B85" s="68"/>
      <c r="E85" s="216">
        <v>42309</v>
      </c>
      <c r="F85" s="216" t="s">
        <v>182</v>
      </c>
      <c r="G85" s="217" t="s">
        <v>69</v>
      </c>
      <c r="H85" s="231">
        <f t="shared" ref="H85:H86" si="23">C$34/12</f>
        <v>9.1666666666666665E-4</v>
      </c>
      <c r="I85" s="232">
        <f>(SUM('1.  LRAMVA Summary'!D$52:D$63)+SUM('1.  LRAMVA Summary'!D$64:D$65)*(MONTH($E85)-1)/12)*$H85</f>
        <v>-3.2552883853175403</v>
      </c>
      <c r="J85" s="232">
        <f>(SUM('1.  LRAMVA Summary'!E$52:E$63)+SUM('1.  LRAMVA Summary'!E$64:E$65)*(MONTH($E85)-1)/12)*$H85</f>
        <v>2.2012103235675857</v>
      </c>
      <c r="K85" s="232">
        <f>(SUM('1.  LRAMVA Summary'!F$52:F$63)+SUM('1.  LRAMVA Summary'!F$64:F$65)*(MONTH($E85)-1)/12)*$H85</f>
        <v>-2.970640750856075</v>
      </c>
      <c r="L85" s="232">
        <f>(SUM('1.  LRAMVA Summary'!G$52:G$63)+SUM('1.  LRAMVA Summary'!G$64:G$65)*(MONTH($E85)-1)/12)*$H85</f>
        <v>7.8627625999999999</v>
      </c>
      <c r="M85" s="232">
        <f>(SUM('1.  LRAMVA Summary'!H$52:H$63)+SUM('1.  LRAMVA Summary'!H$64:H$65)*(MONTH($E85)-1)/12)*$H85</f>
        <v>-4.1916111111111112E-3</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3.8338521762828592</v>
      </c>
    </row>
    <row r="86" spans="2:23" s="9" customFormat="1">
      <c r="B86" s="68"/>
      <c r="E86" s="216">
        <v>42339</v>
      </c>
      <c r="F86" s="216" t="s">
        <v>182</v>
      </c>
      <c r="G86" s="217" t="s">
        <v>69</v>
      </c>
      <c r="H86" s="231">
        <f t="shared" si="23"/>
        <v>9.1666666666666665E-4</v>
      </c>
      <c r="I86" s="232">
        <f>(SUM('1.  LRAMVA Summary'!D$52:D$63)+SUM('1.  LRAMVA Summary'!D$64:D$65)*(MONTH($E86)-1)/12)*$H86</f>
        <v>-3.2688157182255244</v>
      </c>
      <c r="J86" s="232">
        <f>(SUM('1.  LRAMVA Summary'!E$52:E$63)+SUM('1.  LRAMVA Summary'!E$64:E$65)*(MONTH($E86)-1)/12)*$H86</f>
        <v>2.2628319088702571</v>
      </c>
      <c r="K86" s="232">
        <f>(SUM('1.  LRAMVA Summary'!F$52:F$63)+SUM('1.  LRAMVA Summary'!F$64:F$65)*(MONTH($E86)-1)/12)*$H86</f>
        <v>-3.050252068441683</v>
      </c>
      <c r="L86" s="232">
        <f>(SUM('1.  LRAMVA Summary'!G$52:G$63)+SUM('1.  LRAMVA Summary'!G$64:G$65)*(MONTH($E86)-1)/12)*$H86</f>
        <v>8.7625570999999969</v>
      </c>
      <c r="M86" s="232">
        <f>(SUM('1.  LRAMVA Summary'!H$52:H$63)+SUM('1.  LRAMVA Summary'!H$64:H$65)*(MONTH($E86)-1)/12)*$H86</f>
        <v>-4.316430555555556E-3</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4.7020047916474903</v>
      </c>
    </row>
    <row r="87" spans="2:23" s="9" customFormat="1" ht="15" thickBot="1">
      <c r="B87" s="68"/>
      <c r="E87" s="218" t="s">
        <v>467</v>
      </c>
      <c r="F87" s="218"/>
      <c r="G87" s="219"/>
      <c r="H87" s="220"/>
      <c r="I87" s="221">
        <f>SUM(I74:I86)</f>
        <v>-64.641453578467747</v>
      </c>
      <c r="J87" s="221">
        <f>SUM(J74:J86)</f>
        <v>58.273095364498289</v>
      </c>
      <c r="K87" s="221">
        <f t="shared" ref="K87:O87" si="24">SUM(K74:K86)</f>
        <v>-68.750220001236471</v>
      </c>
      <c r="L87" s="221">
        <f t="shared" si="24"/>
        <v>28.199853929999996</v>
      </c>
      <c r="M87" s="221">
        <f t="shared" si="24"/>
        <v>-9.1750524999999999E-2</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-47.010474810205928</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-64.641453578467747</v>
      </c>
      <c r="J89" s="230">
        <f t="shared" ref="J89" si="26">J87+J88</f>
        <v>58.273095364498289</v>
      </c>
      <c r="K89" s="230">
        <f t="shared" ref="K89" si="27">K87+K88</f>
        <v>-68.750220001236471</v>
      </c>
      <c r="L89" s="230">
        <f t="shared" ref="L89" si="28">L87+L88</f>
        <v>28.199853929999996</v>
      </c>
      <c r="M89" s="230">
        <f t="shared" ref="M89" si="29">M87+M88</f>
        <v>-9.1750524999999999E-2</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-47.010474810205928</v>
      </c>
    </row>
    <row r="90" spans="2:23" s="9" customFormat="1">
      <c r="B90" s="68"/>
      <c r="E90" s="216">
        <v>42370</v>
      </c>
      <c r="F90" s="216" t="s">
        <v>184</v>
      </c>
      <c r="G90" s="217" t="s">
        <v>65</v>
      </c>
      <c r="H90" s="231">
        <f>$C$35/12</f>
        <v>9.1666666666666665E-4</v>
      </c>
      <c r="I90" s="232">
        <f>(SUM('1.  LRAMVA Summary'!D$52:D$66)+SUM('1.  LRAMVA Summary'!D$67:D$68)*(MONTH($E90)-1)/12)*$H90</f>
        <v>-3.282343051133509</v>
      </c>
      <c r="J90" s="232">
        <f>(SUM('1.  LRAMVA Summary'!E$52:E$66)+SUM('1.  LRAMVA Summary'!E$67:E$68)*(MONTH($E90)-1)/12)*$H90</f>
        <v>2.324453494172928</v>
      </c>
      <c r="K90" s="232">
        <f>(SUM('1.  LRAMVA Summary'!F$52:F$66)+SUM('1.  LRAMVA Summary'!F$67:F$68)*(MONTH($E90)-1)/12)*$H90</f>
        <v>-3.1298633860272904</v>
      </c>
      <c r="L90" s="232">
        <f>(SUM('1.  LRAMVA Summary'!G$52:G$66)+SUM('1.  LRAMVA Summary'!G$67:G$68)*(MONTH($E90)-1)/12)*$H90</f>
        <v>9.6623515999999974</v>
      </c>
      <c r="M90" s="232">
        <f>(SUM('1.  LRAMVA Summary'!H$52:H$66)+SUM('1.  LRAMVA Summary'!H$67:H$68)*(MONTH($E90)-1)/12)*$H90</f>
        <v>-4.4412500000000008E-3</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5.5701574070121262</v>
      </c>
    </row>
    <row r="91" spans="2:23" s="9" customFormat="1">
      <c r="B91" s="68"/>
      <c r="E91" s="216">
        <v>42401</v>
      </c>
      <c r="F91" s="216" t="s">
        <v>184</v>
      </c>
      <c r="G91" s="217" t="s">
        <v>65</v>
      </c>
      <c r="H91" s="231">
        <f t="shared" ref="H91:H92" si="34">$C$35/12</f>
        <v>9.1666666666666665E-4</v>
      </c>
      <c r="I91" s="232">
        <f>(SUM('1.  LRAMVA Summary'!D$52:D$66)+SUM('1.  LRAMVA Summary'!D$67:D$68)*(MONTH($E91)-1)/12)*$H91</f>
        <v>-3.3243618491873739</v>
      </c>
      <c r="J91" s="232">
        <f>(SUM('1.  LRAMVA Summary'!E$52:E$66)+SUM('1.  LRAMVA Summary'!E$67:E$68)*(MONTH($E91)-1)/12)*$H91</f>
        <v>2.3537282529976133</v>
      </c>
      <c r="K91" s="232">
        <f>(SUM('1.  LRAMVA Summary'!F$52:F$66)+SUM('1.  LRAMVA Summary'!F$67:F$68)*(MONTH($E91)-1)/12)*$H91</f>
        <v>-3.2130787481213532</v>
      </c>
      <c r="L91" s="232">
        <f>(SUM('1.  LRAMVA Summary'!G$52:G$66)+SUM('1.  LRAMVA Summary'!G$67:G$68)*(MONTH($E91)-1)/12)*$H91</f>
        <v>9.6598113149999971</v>
      </c>
      <c r="M91" s="232">
        <f>(SUM('1.  LRAMVA Summary'!H$52:H$66)+SUM('1.  LRAMVA Summary'!H$67:H$68)*(MONTH($E91)-1)/12)*$H91</f>
        <v>-4.5675208333333332E-3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5.4715314498555498</v>
      </c>
    </row>
    <row r="92" spans="2:23" s="9" customFormat="1" ht="14.25" customHeight="1">
      <c r="B92" s="68"/>
      <c r="E92" s="216">
        <v>42430</v>
      </c>
      <c r="F92" s="216" t="s">
        <v>184</v>
      </c>
      <c r="G92" s="217" t="s">
        <v>65</v>
      </c>
      <c r="H92" s="231">
        <f t="shared" si="34"/>
        <v>9.1666666666666665E-4</v>
      </c>
      <c r="I92" s="232">
        <f>(SUM('1.  LRAMVA Summary'!D$52:D$66)+SUM('1.  LRAMVA Summary'!D$67:D$68)*(MONTH($E92)-1)/12)*$H92</f>
        <v>-3.3663806472412392</v>
      </c>
      <c r="J92" s="232">
        <f>(SUM('1.  LRAMVA Summary'!E$52:E$66)+SUM('1.  LRAMVA Summary'!E$67:E$68)*(MONTH($E92)-1)/12)*$H92</f>
        <v>2.3830030118222987</v>
      </c>
      <c r="K92" s="232">
        <f>(SUM('1.  LRAMVA Summary'!F$52:F$66)+SUM('1.  LRAMVA Summary'!F$67:F$68)*(MONTH($E92)-1)/12)*$H92</f>
        <v>-3.296294110215416</v>
      </c>
      <c r="L92" s="232">
        <f>(SUM('1.  LRAMVA Summary'!G$52:G$66)+SUM('1.  LRAMVA Summary'!G$67:G$68)*(MONTH($E92)-1)/12)*$H92</f>
        <v>9.6572710299999986</v>
      </c>
      <c r="M92" s="232">
        <f>(SUM('1.  LRAMVA Summary'!H$52:H$66)+SUM('1.  LRAMVA Summary'!H$67:H$68)*(MONTH($E92)-1)/12)*$H92</f>
        <v>-4.6937916666666673E-3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5.3729054926989752</v>
      </c>
    </row>
    <row r="93" spans="2:23" s="8" customFormat="1">
      <c r="B93" s="241"/>
      <c r="D93" s="9"/>
      <c r="E93" s="216">
        <v>42461</v>
      </c>
      <c r="F93" s="216" t="s">
        <v>184</v>
      </c>
      <c r="G93" s="217" t="s">
        <v>66</v>
      </c>
      <c r="H93" s="231">
        <f>$C$36/12</f>
        <v>9.1666666666666665E-4</v>
      </c>
      <c r="I93" s="232">
        <f>(SUM('1.  LRAMVA Summary'!D$52:D$66)+SUM('1.  LRAMVA Summary'!D$67:D$68)*(MONTH($E93)-1)/12)*$H93</f>
        <v>-3.408399445295105</v>
      </c>
      <c r="J93" s="232">
        <f>(SUM('1.  LRAMVA Summary'!E$52:E$66)+SUM('1.  LRAMVA Summary'!E$67:E$68)*(MONTH($E93)-1)/12)*$H93</f>
        <v>2.412277770646984</v>
      </c>
      <c r="K93" s="232">
        <f>(SUM('1.  LRAMVA Summary'!F$52:F$66)+SUM('1.  LRAMVA Summary'!F$67:F$68)*(MONTH($E93)-1)/12)*$H93</f>
        <v>-3.3795094723094787</v>
      </c>
      <c r="L93" s="232">
        <f>(SUM('1.  LRAMVA Summary'!G$52:G$66)+SUM('1.  LRAMVA Summary'!G$67:G$68)*(MONTH($E93)-1)/12)*$H93</f>
        <v>9.6547307449999984</v>
      </c>
      <c r="M93" s="232">
        <f>(SUM('1.  LRAMVA Summary'!H$52:H$66)+SUM('1.  LRAMVA Summary'!H$67:H$68)*(MONTH($E93)-1)/12)*$H93</f>
        <v>-4.8200625000000006E-3</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5.2742795355423979</v>
      </c>
    </row>
    <row r="94" spans="2:23" s="9" customFormat="1">
      <c r="B94" s="68"/>
      <c r="E94" s="216">
        <v>42491</v>
      </c>
      <c r="F94" s="216" t="s">
        <v>184</v>
      </c>
      <c r="G94" s="217" t="s">
        <v>66</v>
      </c>
      <c r="H94" s="231">
        <f t="shared" ref="H94:H95" si="36">$C$36/12</f>
        <v>9.1666666666666665E-4</v>
      </c>
      <c r="I94" s="232">
        <f>(SUM('1.  LRAMVA Summary'!D$52:D$66)+SUM('1.  LRAMVA Summary'!D$67:D$68)*(MONTH($E94)-1)/12)*$H94</f>
        <v>-3.4504182433489698</v>
      </c>
      <c r="J94" s="232">
        <f>(SUM('1.  LRAMVA Summary'!E$52:E$66)+SUM('1.  LRAMVA Summary'!E$67:E$68)*(MONTH($E94)-1)/12)*$H94</f>
        <v>2.4415525294716689</v>
      </c>
      <c r="K94" s="232">
        <f>(SUM('1.  LRAMVA Summary'!F$52:F$66)+SUM('1.  LRAMVA Summary'!F$67:F$68)*(MONTH($E94)-1)/12)*$H94</f>
        <v>-3.462724834403542</v>
      </c>
      <c r="L94" s="232">
        <f>(SUM('1.  LRAMVA Summary'!G$52:G$66)+SUM('1.  LRAMVA Summary'!G$67:G$68)*(MONTH($E94)-1)/12)*$H94</f>
        <v>9.6521904599999981</v>
      </c>
      <c r="M94" s="232">
        <f>(SUM('1.  LRAMVA Summary'!H$52:H$66)+SUM('1.  LRAMVA Summary'!H$67:H$68)*(MONTH($E94)-1)/12)*$H94</f>
        <v>-4.9463333333333338E-3</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5.1756535783858215</v>
      </c>
    </row>
    <row r="95" spans="2:23" s="240" customFormat="1">
      <c r="B95" s="239"/>
      <c r="D95" s="9"/>
      <c r="E95" s="216">
        <v>42522</v>
      </c>
      <c r="F95" s="216" t="s">
        <v>184</v>
      </c>
      <c r="G95" s="217" t="s">
        <v>66</v>
      </c>
      <c r="H95" s="231">
        <f t="shared" si="36"/>
        <v>9.1666666666666665E-4</v>
      </c>
      <c r="I95" s="232">
        <f>(SUM('1.  LRAMVA Summary'!D$52:D$66)+SUM('1.  LRAMVA Summary'!D$67:D$68)*(MONTH($E95)-1)/12)*$H95</f>
        <v>-3.4924370414028352</v>
      </c>
      <c r="J95" s="232">
        <f>(SUM('1.  LRAMVA Summary'!E$52:E$66)+SUM('1.  LRAMVA Summary'!E$67:E$68)*(MONTH($E95)-1)/12)*$H95</f>
        <v>2.4708272882963542</v>
      </c>
      <c r="K95" s="232">
        <f>(SUM('1.  LRAMVA Summary'!F$52:F$66)+SUM('1.  LRAMVA Summary'!F$67:F$68)*(MONTH($E95)-1)/12)*$H95</f>
        <v>-3.5459401964976047</v>
      </c>
      <c r="L95" s="232">
        <f>(SUM('1.  LRAMVA Summary'!G$52:G$66)+SUM('1.  LRAMVA Summary'!G$67:G$68)*(MONTH($E95)-1)/12)*$H95</f>
        <v>9.6496501749999979</v>
      </c>
      <c r="M95" s="232">
        <f>(SUM('1.  LRAMVA Summary'!H$52:H$66)+SUM('1.  LRAMVA Summary'!H$67:H$68)*(MONTH($E95)-1)/12)*$H95</f>
        <v>-5.0726041666666671E-3</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5.0770276212292451</v>
      </c>
    </row>
    <row r="96" spans="2:23" s="9" customFormat="1">
      <c r="B96" s="68"/>
      <c r="E96" s="216">
        <v>42552</v>
      </c>
      <c r="F96" s="216" t="s">
        <v>184</v>
      </c>
      <c r="G96" s="217" t="s">
        <v>68</v>
      </c>
      <c r="H96" s="231">
        <f>$C$37/12</f>
        <v>9.1666666666666665E-4</v>
      </c>
      <c r="I96" s="232">
        <f>(SUM('1.  LRAMVA Summary'!D$52:D$66)+SUM('1.  LRAMVA Summary'!D$67:D$68)*(MONTH($E96)-1)/12)*$H96</f>
        <v>-3.5344558394567001</v>
      </c>
      <c r="J96" s="232">
        <f>(SUM('1.  LRAMVA Summary'!E$52:E$66)+SUM('1.  LRAMVA Summary'!E$67:E$68)*(MONTH($E96)-1)/12)*$H96</f>
        <v>2.5001020471210396</v>
      </c>
      <c r="K96" s="232">
        <f>(SUM('1.  LRAMVA Summary'!F$52:F$66)+SUM('1.  LRAMVA Summary'!F$67:F$68)*(MONTH($E96)-1)/12)*$H96</f>
        <v>-3.6291555585916675</v>
      </c>
      <c r="L96" s="232">
        <f>(SUM('1.  LRAMVA Summary'!G$52:G$66)+SUM('1.  LRAMVA Summary'!G$67:G$68)*(MONTH($E96)-1)/12)*$H96</f>
        <v>9.6471098899999976</v>
      </c>
      <c r="M96" s="232">
        <f>(SUM('1.  LRAMVA Summary'!H$52:H$66)+SUM('1.  LRAMVA Summary'!H$67:H$68)*(MONTH($E96)-1)/12)*$H96</f>
        <v>-5.1988750000000004E-3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4.9784016640726705</v>
      </c>
    </row>
    <row r="97" spans="2:23" s="9" customFormat="1">
      <c r="B97" s="68"/>
      <c r="E97" s="216">
        <v>42583</v>
      </c>
      <c r="F97" s="216" t="s">
        <v>184</v>
      </c>
      <c r="G97" s="217" t="s">
        <v>68</v>
      </c>
      <c r="H97" s="231">
        <f t="shared" ref="H97:H98" si="37">$C$37/12</f>
        <v>9.1666666666666665E-4</v>
      </c>
      <c r="I97" s="232">
        <f>(SUM('1.  LRAMVA Summary'!D$52:D$66)+SUM('1.  LRAMVA Summary'!D$67:D$68)*(MONTH($E97)-1)/12)*$H97</f>
        <v>-3.5764746375105654</v>
      </c>
      <c r="J97" s="232">
        <f>(SUM('1.  LRAMVA Summary'!E$52:E$66)+SUM('1.  LRAMVA Summary'!E$67:E$68)*(MONTH($E97)-1)/12)*$H97</f>
        <v>2.5293768059457249</v>
      </c>
      <c r="K97" s="232">
        <f>(SUM('1.  LRAMVA Summary'!F$52:F$66)+SUM('1.  LRAMVA Summary'!F$67:F$68)*(MONTH($E97)-1)/12)*$H97</f>
        <v>-3.7123709206857303</v>
      </c>
      <c r="L97" s="232">
        <f>(SUM('1.  LRAMVA Summary'!G$52:G$66)+SUM('1.  LRAMVA Summary'!G$67:G$68)*(MONTH($E97)-1)/12)*$H97</f>
        <v>9.6445696049999974</v>
      </c>
      <c r="M97" s="232">
        <f>(SUM('1.  LRAMVA Summary'!H$52:H$66)+SUM('1.  LRAMVA Summary'!H$67:H$68)*(MONTH($E97)-1)/12)*$H97</f>
        <v>-5.3251458333333336E-3</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4.8797757069160932</v>
      </c>
    </row>
    <row r="98" spans="2:23" s="9" customFormat="1">
      <c r="B98" s="68"/>
      <c r="E98" s="216">
        <v>42614</v>
      </c>
      <c r="F98" s="216" t="s">
        <v>184</v>
      </c>
      <c r="G98" s="217" t="s">
        <v>68</v>
      </c>
      <c r="H98" s="231">
        <f t="shared" si="37"/>
        <v>9.1666666666666665E-4</v>
      </c>
      <c r="I98" s="232">
        <f>(SUM('1.  LRAMVA Summary'!D$52:D$66)+SUM('1.  LRAMVA Summary'!D$67:D$68)*(MONTH($E98)-1)/12)*$H98</f>
        <v>-3.6184934355644307</v>
      </c>
      <c r="J98" s="232">
        <f>(SUM('1.  LRAMVA Summary'!E$52:E$66)+SUM('1.  LRAMVA Summary'!E$67:E$68)*(MONTH($E98)-1)/12)*$H98</f>
        <v>2.5586515647704098</v>
      </c>
      <c r="K98" s="232">
        <f>(SUM('1.  LRAMVA Summary'!F$52:F$66)+SUM('1.  LRAMVA Summary'!F$67:F$68)*(MONTH($E98)-1)/12)*$H98</f>
        <v>-3.7955862827797935</v>
      </c>
      <c r="L98" s="232">
        <f>(SUM('1.  LRAMVA Summary'!G$52:G$66)+SUM('1.  LRAMVA Summary'!G$67:G$68)*(MONTH($E98)-1)/12)*$H98</f>
        <v>9.6420293199999971</v>
      </c>
      <c r="M98" s="232">
        <f>(SUM('1.  LRAMVA Summary'!H$52:H$66)+SUM('1.  LRAMVA Summary'!H$67:H$68)*(MONTH($E98)-1)/12)*$H98</f>
        <v>-5.4514166666666678E-3</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4.7811497497595159</v>
      </c>
    </row>
    <row r="99" spans="2:23" s="9" customFormat="1">
      <c r="B99" s="68"/>
      <c r="E99" s="216">
        <v>42644</v>
      </c>
      <c r="F99" s="216" t="s">
        <v>184</v>
      </c>
      <c r="G99" s="217" t="s">
        <v>69</v>
      </c>
      <c r="H99" s="212">
        <f>$C$38/12</f>
        <v>9.1666666666666665E-4</v>
      </c>
      <c r="I99" s="232">
        <f>(SUM('1.  LRAMVA Summary'!D$52:D$66)+SUM('1.  LRAMVA Summary'!D$67:D$68)*(MONTH($E99)-1)/12)*$H99</f>
        <v>-3.6605122336182956</v>
      </c>
      <c r="J99" s="232">
        <f>(SUM('1.  LRAMVA Summary'!E$52:E$66)+SUM('1.  LRAMVA Summary'!E$67:E$68)*(MONTH($E99)-1)/12)*$H99</f>
        <v>2.5879263235950956</v>
      </c>
      <c r="K99" s="232">
        <f>(SUM('1.  LRAMVA Summary'!F$52:F$66)+SUM('1.  LRAMVA Summary'!F$67:F$68)*(MONTH($E99)-1)/12)*$H99</f>
        <v>-3.8788016448738563</v>
      </c>
      <c r="L99" s="232">
        <f>(SUM('1.  LRAMVA Summary'!G$52:G$66)+SUM('1.  LRAMVA Summary'!G$67:G$68)*(MONTH($E99)-1)/12)*$H99</f>
        <v>9.6394890349999987</v>
      </c>
      <c r="M99" s="232">
        <f>(SUM('1.  LRAMVA Summary'!H$52:H$66)+SUM('1.  LRAMVA Summary'!H$67:H$68)*(MONTH($E99)-1)/12)*$H99</f>
        <v>-5.5776875000000002E-3</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4.6825237926029422</v>
      </c>
    </row>
    <row r="100" spans="2:23" s="9" customFormat="1">
      <c r="B100" s="68"/>
      <c r="E100" s="216">
        <v>42675</v>
      </c>
      <c r="F100" s="216" t="s">
        <v>184</v>
      </c>
      <c r="G100" s="217" t="s">
        <v>69</v>
      </c>
      <c r="H100" s="212">
        <f t="shared" ref="H100:H101" si="38">$C$38/12</f>
        <v>9.1666666666666665E-4</v>
      </c>
      <c r="I100" s="232">
        <f>(SUM('1.  LRAMVA Summary'!D$52:D$66)+SUM('1.  LRAMVA Summary'!D$67:D$68)*(MONTH($E100)-1)/12)*$H100</f>
        <v>-3.7025310316721614</v>
      </c>
      <c r="J100" s="232">
        <f>(SUM('1.  LRAMVA Summary'!E$52:E$66)+SUM('1.  LRAMVA Summary'!E$67:E$68)*(MONTH($E100)-1)/12)*$H100</f>
        <v>2.6172010824197804</v>
      </c>
      <c r="K100" s="232">
        <f>(SUM('1.  LRAMVA Summary'!F$52:F$66)+SUM('1.  LRAMVA Summary'!F$67:F$68)*(MONTH($E100)-1)/12)*$H100</f>
        <v>-3.962017006967919</v>
      </c>
      <c r="L100" s="232">
        <f>(SUM('1.  LRAMVA Summary'!G$52:G$66)+SUM('1.  LRAMVA Summary'!G$67:G$68)*(MONTH($E100)-1)/12)*$H100</f>
        <v>9.6369487499999984</v>
      </c>
      <c r="M100" s="232">
        <f>(SUM('1.  LRAMVA Summary'!H$52:H$66)+SUM('1.  LRAMVA Summary'!H$67:H$68)*(MONTH($E100)-1)/12)*$H100</f>
        <v>-5.7039583333333334E-3</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4.5838978354463649</v>
      </c>
    </row>
    <row r="101" spans="2:23" s="9" customFormat="1">
      <c r="B101" s="68"/>
      <c r="E101" s="216">
        <v>42705</v>
      </c>
      <c r="F101" s="216" t="s">
        <v>184</v>
      </c>
      <c r="G101" s="217" t="s">
        <v>69</v>
      </c>
      <c r="H101" s="212">
        <f t="shared" si="38"/>
        <v>9.1666666666666665E-4</v>
      </c>
      <c r="I101" s="232">
        <f>(SUM('1.  LRAMVA Summary'!D$52:D$66)+SUM('1.  LRAMVA Summary'!D$67:D$68)*(MONTH($E101)-1)/12)*$H101</f>
        <v>-3.7445498297260262</v>
      </c>
      <c r="J101" s="232">
        <f>(SUM('1.  LRAMVA Summary'!E$52:E$66)+SUM('1.  LRAMVA Summary'!E$67:E$68)*(MONTH($E101)-1)/12)*$H101</f>
        <v>2.6464758412444658</v>
      </c>
      <c r="K101" s="232">
        <f>(SUM('1.  LRAMVA Summary'!F$52:F$66)+SUM('1.  LRAMVA Summary'!F$67:F$68)*(MONTH($E101)-1)/12)*$H101</f>
        <v>-4.0452323690619822</v>
      </c>
      <c r="L101" s="232">
        <f>(SUM('1.  LRAMVA Summary'!G$52:G$66)+SUM('1.  LRAMVA Summary'!G$67:G$68)*(MONTH($E101)-1)/12)*$H101</f>
        <v>9.6344084649999981</v>
      </c>
      <c r="M101" s="232">
        <f>(SUM('1.  LRAMVA Summary'!H$52:H$66)+SUM('1.  LRAMVA Summary'!H$67:H$68)*(MONTH($E101)-1)/12)*$H101</f>
        <v>-5.8302291666666667E-3</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4.4852718782897893</v>
      </c>
    </row>
    <row r="102" spans="2:23" s="9" customFormat="1" ht="15" thickBot="1">
      <c r="B102" s="68"/>
      <c r="E102" s="218" t="s">
        <v>468</v>
      </c>
      <c r="F102" s="218"/>
      <c r="G102" s="219"/>
      <c r="H102" s="220"/>
      <c r="I102" s="221">
        <f>SUM(I89:I101)</f>
        <v>-106.80281086362496</v>
      </c>
      <c r="J102" s="221">
        <f>SUM(J89:J101)</f>
        <v>88.09867137700266</v>
      </c>
      <c r="K102" s="221">
        <f t="shared" ref="K102:O102" si="39">SUM(K89:K101)</f>
        <v>-111.80079453177211</v>
      </c>
      <c r="L102" s="221">
        <f t="shared" si="39"/>
        <v>143.98041431999997</v>
      </c>
      <c r="M102" s="221">
        <f t="shared" si="39"/>
        <v>-0.15337940000000003</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13.322100901605559</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-106.80281086362496</v>
      </c>
      <c r="J104" s="230">
        <f t="shared" ref="J104" si="41">J102+J103</f>
        <v>88.09867137700266</v>
      </c>
      <c r="K104" s="230">
        <f t="shared" ref="K104" si="42">K102+K103</f>
        <v>-111.80079453177211</v>
      </c>
      <c r="L104" s="230">
        <f t="shared" ref="L104" si="43">L102+L103</f>
        <v>143.98041431999997</v>
      </c>
      <c r="M104" s="230">
        <f t="shared" ref="M104" si="44">M102+M103</f>
        <v>-0.15337940000000003</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13.322100901605559</v>
      </c>
    </row>
    <row r="105" spans="2:23" s="9" customFormat="1" hidden="1">
      <c r="B105" s="68"/>
      <c r="E105" s="216">
        <v>42736</v>
      </c>
      <c r="F105" s="216" t="s">
        <v>185</v>
      </c>
      <c r="G105" s="217" t="s">
        <v>65</v>
      </c>
      <c r="H105" s="242">
        <f>$C$39/12</f>
        <v>9.1666666666666665E-4</v>
      </c>
      <c r="I105" s="232">
        <f>(SUM('1.  LRAMVA Summary'!D$52:D$69)+SUM('1.  LRAMVA Summary'!D$70:D$71)*(MONTH($E105)-1)/12)*$H105</f>
        <v>-3.7865686277798916</v>
      </c>
      <c r="J105" s="232">
        <f>(SUM('1.  LRAMVA Summary'!E$52:E$69)+SUM('1.  LRAMVA Summary'!E$70:E$71)*(MONTH($E105)-1)/12)*$H105</f>
        <v>2.6757506000691516</v>
      </c>
      <c r="K105" s="232">
        <f>(SUM('1.  LRAMVA Summary'!F$52:F$69)+SUM('1.  LRAMVA Summary'!F$70:F$71)*(MONTH($E105)-1)/12)*$H105</f>
        <v>-4.1284477311560446</v>
      </c>
      <c r="L105" s="232">
        <f>(SUM('1.  LRAMVA Summary'!G$52:G$69)+SUM('1.  LRAMVA Summary'!G$70:G$71)*(MONTH($E105)-1)/12)*$H105</f>
        <v>9.6318681799999979</v>
      </c>
      <c r="M105" s="232">
        <f>(SUM('1.  LRAMVA Summary'!H$52:H$69)+SUM('1.  LRAMVA Summary'!H$70:H$71)*(MONTH($E105)-1)/12)*$H105</f>
        <v>-5.9565E-3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4.3866459211332138</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-3.5591296676954776</v>
      </c>
      <c r="J106" s="232">
        <f>(SUM('1.  LRAMVA Summary'!E$52:E$69)+SUM('1.  LRAMVA Summary'!E$70:E$71)*(MONTH($E106)-1)/12)*$H106</f>
        <v>2.7420337017828684</v>
      </c>
      <c r="K106" s="232">
        <f>(SUM('1.  LRAMVA Summary'!F$52:F$69)+SUM('1.  LRAMVA Summary'!F$70:F$71)*(MONTH($E106)-1)/12)*$H106</f>
        <v>-4.1148070912306327</v>
      </c>
      <c r="L106" s="232">
        <f>(SUM('1.  LRAMVA Summary'!G$52:G$69)+SUM('1.  LRAMVA Summary'!G$70:G$71)*(MONTH($E106)-1)/12)*$H106</f>
        <v>9.6809375483333309</v>
      </c>
      <c r="M106" s="232">
        <f>(SUM('1.  LRAMVA Summary'!H$52:H$69)+SUM('1.  LRAMVA Summary'!H$70:H$71)*(MONTH($E106)-1)/12)*$H106</f>
        <v>-5.9565E-3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4.7430779911900895</v>
      </c>
    </row>
    <row r="107" spans="2:23" s="9" customFormat="1" hidden="1">
      <c r="B107" s="68"/>
      <c r="E107" s="216">
        <v>42795</v>
      </c>
      <c r="F107" s="216" t="s">
        <v>185</v>
      </c>
      <c r="G107" s="217" t="s">
        <v>65</v>
      </c>
      <c r="H107" s="242">
        <f t="shared" si="48"/>
        <v>9.1666666666666665E-4</v>
      </c>
      <c r="I107" s="232">
        <f>(SUM('1.  LRAMVA Summary'!D$52:D$69)+SUM('1.  LRAMVA Summary'!D$70:D$71)*(MONTH($E107)-1)/12)*$H107</f>
        <v>-3.3316907076110636</v>
      </c>
      <c r="J107" s="232">
        <f>(SUM('1.  LRAMVA Summary'!E$52:E$69)+SUM('1.  LRAMVA Summary'!E$70:E$71)*(MONTH($E107)-1)/12)*$H107</f>
        <v>2.8083168034965862</v>
      </c>
      <c r="K107" s="232">
        <f>(SUM('1.  LRAMVA Summary'!F$52:F$69)+SUM('1.  LRAMVA Summary'!F$70:F$71)*(MONTH($E107)-1)/12)*$H107</f>
        <v>-4.10116645130522</v>
      </c>
      <c r="L107" s="232">
        <f>(SUM('1.  LRAMVA Summary'!G$52:G$69)+SUM('1.  LRAMVA Summary'!G$70:G$71)*(MONTH($E107)-1)/12)*$H107</f>
        <v>9.7300069166666638</v>
      </c>
      <c r="M107" s="232">
        <f>(SUM('1.  LRAMVA Summary'!H$52:H$69)+SUM('1.  LRAMVA Summary'!H$70:H$71)*(MONTH($E107)-1)/12)*$H107</f>
        <v>-5.9565E-3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5.099510061246967</v>
      </c>
    </row>
    <row r="108" spans="2:23" s="8" customFormat="1" hidden="1">
      <c r="B108" s="241"/>
      <c r="E108" s="216">
        <v>42826</v>
      </c>
      <c r="F108" s="216" t="s">
        <v>185</v>
      </c>
      <c r="G108" s="217" t="s">
        <v>66</v>
      </c>
      <c r="H108" s="242">
        <f>$C$40/12</f>
        <v>9.1666666666666665E-4</v>
      </c>
      <c r="I108" s="232">
        <f>(SUM('1.  LRAMVA Summary'!D$52:D$69)+SUM('1.  LRAMVA Summary'!D$70:D$71)*(MONTH($E108)-1)/12)*$H108</f>
        <v>-3.1042517475266496</v>
      </c>
      <c r="J108" s="232">
        <f>(SUM('1.  LRAMVA Summary'!E$52:E$69)+SUM('1.  LRAMVA Summary'!E$70:E$71)*(MONTH($E108)-1)/12)*$H108</f>
        <v>2.8745999052103035</v>
      </c>
      <c r="K108" s="232">
        <f>(SUM('1.  LRAMVA Summary'!F$52:F$69)+SUM('1.  LRAMVA Summary'!F$70:F$71)*(MONTH($E108)-1)/12)*$H108</f>
        <v>-4.0875258113798072</v>
      </c>
      <c r="L108" s="232">
        <f>(SUM('1.  LRAMVA Summary'!G$52:G$69)+SUM('1.  LRAMVA Summary'!G$70:G$71)*(MONTH($E108)-1)/12)*$H108</f>
        <v>9.7790762849999968</v>
      </c>
      <c r="M108" s="232">
        <f>(SUM('1.  LRAMVA Summary'!H$52:H$69)+SUM('1.  LRAMVA Summary'!H$70:H$71)*(MONTH($E108)-1)/12)*$H108</f>
        <v>-5.9565E-3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5.4559421313038436</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-2.8768127874422351</v>
      </c>
      <c r="J109" s="232">
        <f>(SUM('1.  LRAMVA Summary'!E$52:E$69)+SUM('1.  LRAMVA Summary'!E$70:E$71)*(MONTH($E109)-1)/12)*$H109</f>
        <v>2.9408830069240213</v>
      </c>
      <c r="K109" s="232">
        <f>(SUM('1.  LRAMVA Summary'!F$52:F$69)+SUM('1.  LRAMVA Summary'!F$70:F$71)*(MONTH($E109)-1)/12)*$H109</f>
        <v>-4.0738851714543953</v>
      </c>
      <c r="L109" s="232">
        <f>(SUM('1.  LRAMVA Summary'!G$52:G$69)+SUM('1.  LRAMVA Summary'!G$70:G$71)*(MONTH($E109)-1)/12)*$H109</f>
        <v>9.8281456533333316</v>
      </c>
      <c r="M109" s="232">
        <f>(SUM('1.  LRAMVA Summary'!H$52:H$69)+SUM('1.  LRAMVA Summary'!H$70:H$71)*(MONTH($E109)-1)/12)*$H109</f>
        <v>-5.9565E-3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5.812374201360722</v>
      </c>
    </row>
    <row r="110" spans="2:23" s="240" customFormat="1" hidden="1">
      <c r="B110" s="239"/>
      <c r="E110" s="216">
        <v>42887</v>
      </c>
      <c r="F110" s="216" t="s">
        <v>185</v>
      </c>
      <c r="G110" s="217" t="s">
        <v>66</v>
      </c>
      <c r="H110" s="242">
        <f t="shared" si="50"/>
        <v>9.1666666666666665E-4</v>
      </c>
      <c r="I110" s="232">
        <f>(SUM('1.  LRAMVA Summary'!D$52:D$69)+SUM('1.  LRAMVA Summary'!D$70:D$71)*(MONTH($E110)-1)/12)*$H110</f>
        <v>-2.6493738273578216</v>
      </c>
      <c r="J110" s="232">
        <f>(SUM('1.  LRAMVA Summary'!E$52:E$69)+SUM('1.  LRAMVA Summary'!E$70:E$71)*(MONTH($E110)-1)/12)*$H110</f>
        <v>3.0071661086377386</v>
      </c>
      <c r="K110" s="232">
        <f>(SUM('1.  LRAMVA Summary'!F$52:F$69)+SUM('1.  LRAMVA Summary'!F$70:F$71)*(MONTH($E110)-1)/12)*$H110</f>
        <v>-4.0602445315289826</v>
      </c>
      <c r="L110" s="232">
        <f>(SUM('1.  LRAMVA Summary'!G$52:G$69)+SUM('1.  LRAMVA Summary'!G$70:G$71)*(MONTH($E110)-1)/12)*$H110</f>
        <v>9.8772150216666628</v>
      </c>
      <c r="M110" s="232">
        <f>(SUM('1.  LRAMVA Summary'!H$52:H$69)+SUM('1.  LRAMVA Summary'!H$70:H$71)*(MONTH($E110)-1)/12)*$H110</f>
        <v>-5.9565E-3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6.1688062714175977</v>
      </c>
    </row>
    <row r="111" spans="2:23" s="9" customFormat="1" hidden="1">
      <c r="B111" s="68"/>
      <c r="E111" s="216">
        <v>42917</v>
      </c>
      <c r="F111" s="216" t="s">
        <v>185</v>
      </c>
      <c r="G111" s="217" t="s">
        <v>68</v>
      </c>
      <c r="H111" s="242">
        <f>$C$41/12</f>
        <v>9.1666666666666665E-4</v>
      </c>
      <c r="I111" s="232">
        <f>(SUM('1.  LRAMVA Summary'!D$52:D$69)+SUM('1.  LRAMVA Summary'!D$70:D$71)*(MONTH($E111)-1)/12)*$H111</f>
        <v>-2.4219348672734071</v>
      </c>
      <c r="J111" s="232">
        <f>(SUM('1.  LRAMVA Summary'!E$52:E$69)+SUM('1.  LRAMVA Summary'!E$70:E$71)*(MONTH($E111)-1)/12)*$H111</f>
        <v>3.0734492103514559</v>
      </c>
      <c r="K111" s="232">
        <f>(SUM('1.  LRAMVA Summary'!F$52:F$69)+SUM('1.  LRAMVA Summary'!F$70:F$71)*(MONTH($E111)-1)/12)*$H111</f>
        <v>-4.0466038916035698</v>
      </c>
      <c r="L111" s="232">
        <f>(SUM('1.  LRAMVA Summary'!G$52:G$69)+SUM('1.  LRAMVA Summary'!G$70:G$71)*(MONTH($E111)-1)/12)*$H111</f>
        <v>9.9262843899999975</v>
      </c>
      <c r="M111" s="232">
        <f>(SUM('1.  LRAMVA Summary'!H$52:H$69)+SUM('1.  LRAMVA Summary'!H$70:H$71)*(MONTH($E111)-1)/12)*$H111</f>
        <v>-5.9565E-3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6.525238341474477</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-2.1944959071889936</v>
      </c>
      <c r="J112" s="232">
        <f>(SUM('1.  LRAMVA Summary'!E$52:E$69)+SUM('1.  LRAMVA Summary'!E$70:E$71)*(MONTH($E112)-1)/12)*$H112</f>
        <v>3.1397323120651737</v>
      </c>
      <c r="K112" s="232">
        <f>(SUM('1.  LRAMVA Summary'!F$52:F$69)+SUM('1.  LRAMVA Summary'!F$70:F$71)*(MONTH($E112)-1)/12)*$H112</f>
        <v>-4.0329632516781571</v>
      </c>
      <c r="L112" s="232">
        <f>(SUM('1.  LRAMVA Summary'!G$52:G$69)+SUM('1.  LRAMVA Summary'!G$70:G$71)*(MONTH($E112)-1)/12)*$H112</f>
        <v>9.9753537583333305</v>
      </c>
      <c r="M112" s="232">
        <f>(SUM('1.  LRAMVA Summary'!H$52:H$69)+SUM('1.  LRAMVA Summary'!H$70:H$71)*(MONTH($E112)-1)/12)*$H112</f>
        <v>-5.9565E-3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6.8816704115313536</v>
      </c>
    </row>
    <row r="113" spans="2:23" s="9" customFormat="1" hidden="1">
      <c r="B113" s="68"/>
      <c r="E113" s="216">
        <v>42979</v>
      </c>
      <c r="F113" s="216" t="s">
        <v>185</v>
      </c>
      <c r="G113" s="217" t="s">
        <v>68</v>
      </c>
      <c r="H113" s="242">
        <f t="shared" si="51"/>
        <v>9.1666666666666665E-4</v>
      </c>
      <c r="I113" s="232">
        <f>(SUM('1.  LRAMVA Summary'!D$52:D$69)+SUM('1.  LRAMVA Summary'!D$70:D$71)*(MONTH($E113)-1)/12)*$H113</f>
        <v>-1.9670569471045791</v>
      </c>
      <c r="J113" s="232">
        <f>(SUM('1.  LRAMVA Summary'!E$52:E$69)+SUM('1.  LRAMVA Summary'!E$70:E$71)*(MONTH($E113)-1)/12)*$H113</f>
        <v>3.206015413778891</v>
      </c>
      <c r="K113" s="232">
        <f>(SUM('1.  LRAMVA Summary'!F$52:F$69)+SUM('1.  LRAMVA Summary'!F$70:F$71)*(MONTH($E113)-1)/12)*$H113</f>
        <v>-4.0193226117527452</v>
      </c>
      <c r="L113" s="232">
        <f>(SUM('1.  LRAMVA Summary'!G$52:G$69)+SUM('1.  LRAMVA Summary'!G$70:G$71)*(MONTH($E113)-1)/12)*$H113</f>
        <v>10.024423126666665</v>
      </c>
      <c r="M113" s="232">
        <f>(SUM('1.  LRAMVA Summary'!H$52:H$69)+SUM('1.  LRAMVA Summary'!H$70:H$71)*(MONTH($E113)-1)/12)*$H113</f>
        <v>-5.9565E-3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7.238102481588232</v>
      </c>
    </row>
    <row r="114" spans="2:23" s="9" customFormat="1" hidden="1">
      <c r="B114" s="68"/>
      <c r="E114" s="216">
        <v>43009</v>
      </c>
      <c r="F114" s="216" t="s">
        <v>185</v>
      </c>
      <c r="G114" s="217" t="s">
        <v>69</v>
      </c>
      <c r="H114" s="242">
        <f>$C$42/12</f>
        <v>0</v>
      </c>
      <c r="I114" s="232">
        <f>(SUM('1.  LRAMVA Summary'!D$52:D$69)+SUM('1.  LRAMVA Summary'!D$70:D$71)*(MONTH($E114)-1)/12)*$H114</f>
        <v>0</v>
      </c>
      <c r="J114" s="232">
        <f>(SUM('1.  LRAMVA Summary'!E$52:E$69)+SUM('1.  LRAMVA Summary'!E$70:E$71)*(MONTH($E114)-1)/12)*$H114</f>
        <v>0</v>
      </c>
      <c r="K114" s="232">
        <f>(SUM('1.  LRAMVA Summary'!F$52:F$69)+SUM('1.  LRAMVA Summary'!F$70:F$71)*(MONTH($E114)-1)/12)*$H114</f>
        <v>0</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0</v>
      </c>
    </row>
    <row r="115" spans="2:23" s="9" customFormat="1" hidden="1">
      <c r="B115" s="68"/>
      <c r="E115" s="216">
        <v>43040</v>
      </c>
      <c r="F115" s="216" t="s">
        <v>185</v>
      </c>
      <c r="G115" s="217" t="s">
        <v>69</v>
      </c>
      <c r="H115" s="242">
        <f t="shared" ref="H115:H116" si="52">$C$42/12</f>
        <v>0</v>
      </c>
      <c r="I115" s="232">
        <f>(SUM('1.  LRAMVA Summary'!D$52:D$69)+SUM('1.  LRAMVA Summary'!D$70:D$71)*(MONTH($E115)-1)/12)*$H115</f>
        <v>0</v>
      </c>
      <c r="J115" s="232">
        <f>(SUM('1.  LRAMVA Summary'!E$52:E$69)+SUM('1.  LRAMVA Summary'!E$70:E$71)*(MONTH($E115)-1)/12)*$H115</f>
        <v>0</v>
      </c>
      <c r="K115" s="232">
        <f>(SUM('1.  LRAMVA Summary'!F$52:F$69)+SUM('1.  LRAMVA Summary'!F$70:F$71)*(MONTH($E115)-1)/12)*$H115</f>
        <v>0</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0</v>
      </c>
    </row>
    <row r="116" spans="2:23" s="9" customFormat="1" hidden="1">
      <c r="B116" s="68"/>
      <c r="E116" s="216">
        <v>43070</v>
      </c>
      <c r="F116" s="216" t="s">
        <v>185</v>
      </c>
      <c r="G116" s="217" t="s">
        <v>69</v>
      </c>
      <c r="H116" s="242">
        <f t="shared" si="52"/>
        <v>0</v>
      </c>
      <c r="I116" s="232">
        <f>(SUM('1.  LRAMVA Summary'!D$52:D$69)+SUM('1.  LRAMVA Summary'!D$70:D$71)*(MONTH($E116)-1)/12)*$H116</f>
        <v>0</v>
      </c>
      <c r="J116" s="232">
        <f>(SUM('1.  LRAMVA Summary'!E$52:E$69)+SUM('1.  LRAMVA Summary'!E$70:E$71)*(MONTH($E116)-1)/12)*$H116</f>
        <v>0</v>
      </c>
      <c r="K116" s="232">
        <f>(SUM('1.  LRAMVA Summary'!F$52:F$69)+SUM('1.  LRAMVA Summary'!F$70:F$71)*(MONTH($E116)-1)/12)*$H116</f>
        <v>0</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0</v>
      </c>
    </row>
    <row r="117" spans="2:23" s="9" customFormat="1" ht="15" hidden="1" thickBot="1">
      <c r="B117" s="68"/>
      <c r="E117" s="218" t="s">
        <v>469</v>
      </c>
      <c r="F117" s="218"/>
      <c r="G117" s="219"/>
      <c r="H117" s="220"/>
      <c r="I117" s="221">
        <f>SUM(I104:I116)</f>
        <v>-132.69412595060501</v>
      </c>
      <c r="J117" s="221">
        <f>SUM(J104:J116)</f>
        <v>114.56661843931884</v>
      </c>
      <c r="K117" s="221">
        <f t="shared" ref="K117:O117" si="53">SUM(K104:K116)</f>
        <v>-148.46576107486169</v>
      </c>
      <c r="L117" s="221">
        <f t="shared" si="53"/>
        <v>232.4337252</v>
      </c>
      <c r="M117" s="221">
        <f t="shared" si="53"/>
        <v>-0.20698790000000006</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65.633468713852054</v>
      </c>
    </row>
    <row r="118" spans="2:23" s="9" customFormat="1" ht="1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-132.69412595060501</v>
      </c>
      <c r="J119" s="230">
        <f t="shared" ref="J119" si="55">J117+J118</f>
        <v>114.56661843931884</v>
      </c>
      <c r="K119" s="230">
        <f t="shared" ref="K119" si="56">K117+K118</f>
        <v>-148.46576107486169</v>
      </c>
      <c r="L119" s="230">
        <f t="shared" ref="L119" si="57">L117+L118</f>
        <v>232.4337252</v>
      </c>
      <c r="M119" s="230">
        <f t="shared" ref="M119" si="58">M117+M118</f>
        <v>-0.20698790000000006</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65.633468713852054</v>
      </c>
    </row>
    <row r="120" spans="2:23" s="9" customFormat="1" hidden="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hidden="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hidden="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 hidden="1" thickBot="1">
      <c r="B132" s="68"/>
      <c r="E132" s="218" t="s">
        <v>470</v>
      </c>
      <c r="F132" s="218"/>
      <c r="G132" s="219"/>
      <c r="H132" s="220"/>
      <c r="I132" s="221">
        <f>SUM(I119:I131)</f>
        <v>-132.69412595060501</v>
      </c>
      <c r="J132" s="221">
        <f>SUM(J119:J131)</f>
        <v>114.56661843931884</v>
      </c>
      <c r="K132" s="221">
        <f t="shared" ref="K132:O132" si="67">SUM(K119:K131)</f>
        <v>-148.46576107486169</v>
      </c>
      <c r="L132" s="221">
        <f t="shared" si="67"/>
        <v>232.4337252</v>
      </c>
      <c r="M132" s="221">
        <f t="shared" si="67"/>
        <v>-0.20698790000000006</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65.633468713852054</v>
      </c>
    </row>
    <row r="133" spans="2:23" s="9" customFormat="1" ht="1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-132.69412595060501</v>
      </c>
      <c r="J134" s="230">
        <f t="shared" ref="J134" si="69">J132+J133</f>
        <v>114.56661843931884</v>
      </c>
      <c r="K134" s="230">
        <f t="shared" ref="K134" si="70">K132+K133</f>
        <v>-148.46576107486169</v>
      </c>
      <c r="L134" s="230">
        <f t="shared" ref="L134" si="71">L132+L133</f>
        <v>232.4337252</v>
      </c>
      <c r="M134" s="230">
        <f t="shared" ref="M134" si="72">M132+M133</f>
        <v>-0.20698790000000006</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65.633468713852054</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 hidden="1" thickBot="1">
      <c r="B147" s="68"/>
      <c r="E147" s="218" t="s">
        <v>471</v>
      </c>
      <c r="F147" s="218"/>
      <c r="G147" s="219"/>
      <c r="H147" s="220"/>
      <c r="I147" s="221">
        <f>SUM(I134:I146)</f>
        <v>-132.69412595060501</v>
      </c>
      <c r="J147" s="221">
        <f>SUM(J134:J146)</f>
        <v>114.56661843931884</v>
      </c>
      <c r="K147" s="221">
        <f t="shared" ref="K147:O147" si="80">SUM(K134:K146)</f>
        <v>-148.46576107486169</v>
      </c>
      <c r="L147" s="221">
        <f t="shared" si="80"/>
        <v>232.4337252</v>
      </c>
      <c r="M147" s="221">
        <f t="shared" si="80"/>
        <v>-0.20698790000000006</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65.633468713852054</v>
      </c>
    </row>
    <row r="148" spans="2:23" s="9" customFormat="1" ht="1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-132.69412595060501</v>
      </c>
      <c r="J149" s="230">
        <f t="shared" ref="J149" si="82">J147+J148</f>
        <v>114.56661843931884</v>
      </c>
      <c r="K149" s="230">
        <f t="shared" ref="K149" si="83">K147+K148</f>
        <v>-148.46576107486169</v>
      </c>
      <c r="L149" s="230">
        <f t="shared" ref="L149" si="84">L147+L148</f>
        <v>232.4337252</v>
      </c>
      <c r="M149" s="230">
        <f t="shared" ref="M149" si="85">M147+M148</f>
        <v>-0.20698790000000006</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65.633468713852054</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hidden="1" thickBot="1">
      <c r="B162" s="68"/>
      <c r="E162" s="218" t="s">
        <v>472</v>
      </c>
      <c r="F162" s="218"/>
      <c r="G162" s="219"/>
      <c r="H162" s="220"/>
      <c r="I162" s="221">
        <f>SUM(I149:I161)</f>
        <v>-132.69412595060501</v>
      </c>
      <c r="J162" s="221">
        <f>SUM(J149:J161)</f>
        <v>114.56661843931884</v>
      </c>
      <c r="K162" s="221">
        <f t="shared" ref="K162:O162" si="93">SUM(K149:K161)</f>
        <v>-148.46576107486169</v>
      </c>
      <c r="L162" s="221">
        <f t="shared" si="93"/>
        <v>232.4337252</v>
      </c>
      <c r="M162" s="221">
        <f t="shared" si="93"/>
        <v>-0.20698790000000006</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65.633468713852054</v>
      </c>
    </row>
    <row r="163" spans="2:23" s="9" customFormat="1" ht="1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530</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M36" zoomScale="90" zoomScaleNormal="90" workbookViewId="0">
      <selection activeCell="G71" sqref="G71"/>
    </sheetView>
  </sheetViews>
  <sheetFormatPr defaultColWidth="9.1796875" defaultRowHeight="14.5" outlineLevelRow="1"/>
  <cols>
    <col min="1" max="1" width="5.81640625" style="12" customWidth="1"/>
    <col min="2" max="2" width="24.26953125" style="12" customWidth="1"/>
    <col min="3" max="3" width="36" style="12" customWidth="1"/>
    <col min="4" max="4" width="59.26953125" style="12" customWidth="1"/>
    <col min="5" max="5" width="35.1796875" style="12" bestFit="1" customWidth="1"/>
    <col min="6" max="6" width="26.7265625" style="12" customWidth="1"/>
    <col min="7" max="7" width="17" style="12" customWidth="1"/>
    <col min="8" max="8" width="19.453125" style="12" customWidth="1"/>
    <col min="9" max="10" width="23" style="637" customWidth="1"/>
    <col min="11" max="11" width="2" style="16" customWidth="1"/>
    <col min="12"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555</v>
      </c>
      <c r="I14" s="12"/>
      <c r="J14" s="12"/>
      <c r="BU14" s="12"/>
    </row>
    <row r="15" spans="2:73" ht="26.25" customHeight="1" outlineLevel="1">
      <c r="C15" s="92"/>
      <c r="I15" s="12"/>
      <c r="J15" s="12"/>
    </row>
    <row r="16" spans="2:73" ht="23.25" customHeight="1" outlineLevel="1">
      <c r="B16" s="118" t="s">
        <v>508</v>
      </c>
      <c r="C16" s="92"/>
      <c r="D16" s="617" t="s">
        <v>624</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618</v>
      </c>
      <c r="C17" s="92"/>
      <c r="D17" s="613" t="s">
        <v>594</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633</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632</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634</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7" t="s">
        <v>646</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5">
      <c r="B23" s="184" t="s">
        <v>599</v>
      </c>
      <c r="H23" s="10"/>
      <c r="I23" s="10"/>
      <c r="J23" s="10"/>
    </row>
    <row r="24" spans="2:73" s="672" customFormat="1" ht="21" customHeight="1">
      <c r="B24" s="704" t="s">
        <v>603</v>
      </c>
      <c r="C24" s="814" t="s">
        <v>604</v>
      </c>
      <c r="D24" s="814"/>
      <c r="E24" s="814"/>
      <c r="F24" s="814"/>
      <c r="G24" s="814"/>
      <c r="H24" s="680" t="s">
        <v>601</v>
      </c>
      <c r="I24" s="680" t="s">
        <v>600</v>
      </c>
      <c r="J24" s="680" t="s">
        <v>602</v>
      </c>
      <c r="K24" s="671"/>
      <c r="L24" s="672" t="s">
        <v>604</v>
      </c>
      <c r="AQ24" s="672" t="s">
        <v>604</v>
      </c>
      <c r="BU24" s="671"/>
    </row>
    <row r="25" spans="2:73" s="252" customFormat="1" ht="49.5" customHeight="1">
      <c r="B25" s="247" t="s">
        <v>475</v>
      </c>
      <c r="C25" s="247" t="s">
        <v>212</v>
      </c>
      <c r="D25" s="630" t="s">
        <v>476</v>
      </c>
      <c r="E25" s="247" t="s">
        <v>209</v>
      </c>
      <c r="F25" s="247" t="s">
        <v>477</v>
      </c>
      <c r="G25" s="247" t="s">
        <v>478</v>
      </c>
      <c r="H25" s="630" t="s">
        <v>479</v>
      </c>
      <c r="I25" s="638" t="s">
        <v>592</v>
      </c>
      <c r="J25" s="645" t="s">
        <v>593</v>
      </c>
      <c r="K25" s="64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5">
      <c r="B27" s="694" t="s">
        <v>696</v>
      </c>
      <c r="C27" s="694" t="s">
        <v>697</v>
      </c>
      <c r="D27" s="694" t="s">
        <v>2</v>
      </c>
      <c r="E27" s="694" t="s">
        <v>684</v>
      </c>
      <c r="F27" s="694" t="s">
        <v>29</v>
      </c>
      <c r="G27" s="694" t="s">
        <v>701</v>
      </c>
      <c r="H27" s="694">
        <v>2011</v>
      </c>
      <c r="I27" s="646" t="s">
        <v>580</v>
      </c>
      <c r="J27" s="646" t="s">
        <v>598</v>
      </c>
      <c r="K27" s="635"/>
      <c r="L27" s="698">
        <v>9.9601575616764484E-2</v>
      </c>
      <c r="M27" s="699">
        <v>9.9601575616764484E-2</v>
      </c>
      <c r="N27" s="699">
        <v>9.9601575616764484E-2</v>
      </c>
      <c r="O27" s="699">
        <v>2.6841963062582706E-2</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705">
        <v>112.92648344430117</v>
      </c>
      <c r="AR27" s="706">
        <v>112.92648344430117</v>
      </c>
      <c r="AS27" s="707">
        <v>112.92648344430117</v>
      </c>
      <c r="AT27" s="706">
        <v>47.860878296941074</v>
      </c>
      <c r="AU27" s="707">
        <v>0</v>
      </c>
      <c r="AV27" s="706">
        <v>0</v>
      </c>
      <c r="AW27" s="707">
        <v>0</v>
      </c>
      <c r="AX27" s="706">
        <v>0</v>
      </c>
      <c r="AY27" s="707">
        <v>0</v>
      </c>
      <c r="AZ27" s="706">
        <v>0</v>
      </c>
      <c r="BA27" s="707">
        <v>0</v>
      </c>
      <c r="BB27" s="706">
        <v>0</v>
      </c>
      <c r="BC27" s="707">
        <v>0</v>
      </c>
      <c r="BD27" s="706">
        <v>0</v>
      </c>
      <c r="BE27" s="707">
        <v>0</v>
      </c>
      <c r="BF27" s="706">
        <v>0</v>
      </c>
      <c r="BG27" s="707">
        <v>0</v>
      </c>
      <c r="BH27" s="706">
        <v>0</v>
      </c>
      <c r="BI27" s="707">
        <v>0</v>
      </c>
      <c r="BJ27" s="706">
        <v>0</v>
      </c>
      <c r="BK27" s="707">
        <v>0</v>
      </c>
      <c r="BL27" s="706">
        <v>0</v>
      </c>
      <c r="BM27" s="707">
        <v>0</v>
      </c>
      <c r="BN27" s="706">
        <v>0</v>
      </c>
      <c r="BO27" s="707">
        <v>0</v>
      </c>
      <c r="BP27" s="706">
        <v>0</v>
      </c>
      <c r="BQ27" s="707">
        <v>0</v>
      </c>
      <c r="BR27" s="706">
        <v>0</v>
      </c>
      <c r="BS27" s="707">
        <v>0</v>
      </c>
      <c r="BT27" s="708">
        <v>0</v>
      </c>
      <c r="BU27" s="16"/>
    </row>
    <row r="28" spans="2:73" s="17" customFormat="1" ht="15.5">
      <c r="B28" s="694" t="s">
        <v>696</v>
      </c>
      <c r="C28" s="694" t="s">
        <v>697</v>
      </c>
      <c r="D28" s="694" t="s">
        <v>1</v>
      </c>
      <c r="E28" s="694" t="s">
        <v>684</v>
      </c>
      <c r="F28" s="694" t="s">
        <v>29</v>
      </c>
      <c r="G28" s="694" t="s">
        <v>701</v>
      </c>
      <c r="H28" s="694">
        <v>2011</v>
      </c>
      <c r="I28" s="646" t="s">
        <v>580</v>
      </c>
      <c r="J28" s="646" t="s">
        <v>598</v>
      </c>
      <c r="K28" s="635"/>
      <c r="L28" s="698">
        <v>2.0788510457420246</v>
      </c>
      <c r="M28" s="699">
        <v>2.0788510457420246</v>
      </c>
      <c r="N28" s="699">
        <v>2.0788510457420246</v>
      </c>
      <c r="O28" s="699">
        <v>1.853044312366948</v>
      </c>
      <c r="P28" s="699">
        <v>1.3301377402162864</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709">
        <v>13343.589992032805</v>
      </c>
      <c r="AR28" s="710">
        <v>13343.589992032805</v>
      </c>
      <c r="AS28" s="711">
        <v>13343.589992032805</v>
      </c>
      <c r="AT28" s="710">
        <v>13141.661322574084</v>
      </c>
      <c r="AU28" s="711">
        <v>10116.675836750601</v>
      </c>
      <c r="AV28" s="710">
        <v>0</v>
      </c>
      <c r="AW28" s="711">
        <v>0</v>
      </c>
      <c r="AX28" s="710">
        <v>0</v>
      </c>
      <c r="AY28" s="711">
        <v>0</v>
      </c>
      <c r="AZ28" s="710">
        <v>0</v>
      </c>
      <c r="BA28" s="711">
        <v>0</v>
      </c>
      <c r="BB28" s="710">
        <v>0</v>
      </c>
      <c r="BC28" s="711">
        <v>0</v>
      </c>
      <c r="BD28" s="710">
        <v>0</v>
      </c>
      <c r="BE28" s="711">
        <v>0</v>
      </c>
      <c r="BF28" s="710">
        <v>0</v>
      </c>
      <c r="BG28" s="711">
        <v>0</v>
      </c>
      <c r="BH28" s="710">
        <v>0</v>
      </c>
      <c r="BI28" s="711">
        <v>0</v>
      </c>
      <c r="BJ28" s="710">
        <v>0</v>
      </c>
      <c r="BK28" s="711">
        <v>0</v>
      </c>
      <c r="BL28" s="710">
        <v>0</v>
      </c>
      <c r="BM28" s="711">
        <v>0</v>
      </c>
      <c r="BN28" s="710">
        <v>0</v>
      </c>
      <c r="BO28" s="711">
        <v>0</v>
      </c>
      <c r="BP28" s="710">
        <v>0</v>
      </c>
      <c r="BQ28" s="711">
        <v>0</v>
      </c>
      <c r="BR28" s="710">
        <v>0</v>
      </c>
      <c r="BS28" s="711">
        <v>0</v>
      </c>
      <c r="BT28" s="712">
        <v>0</v>
      </c>
      <c r="BU28" s="16"/>
    </row>
    <row r="29" spans="2:73" s="17" customFormat="1" ht="16.5" customHeight="1">
      <c r="B29" s="694" t="s">
        <v>696</v>
      </c>
      <c r="C29" s="694" t="s">
        <v>697</v>
      </c>
      <c r="D29" s="694" t="s">
        <v>5</v>
      </c>
      <c r="E29" s="694" t="s">
        <v>684</v>
      </c>
      <c r="F29" s="694" t="s">
        <v>29</v>
      </c>
      <c r="G29" s="694" t="s">
        <v>701</v>
      </c>
      <c r="H29" s="694">
        <v>2011</v>
      </c>
      <c r="I29" s="646" t="s">
        <v>580</v>
      </c>
      <c r="J29" s="646" t="s">
        <v>598</v>
      </c>
      <c r="K29" s="635"/>
      <c r="L29" s="698">
        <v>1.4132902044704729</v>
      </c>
      <c r="M29" s="699">
        <v>1.4132902044704729</v>
      </c>
      <c r="N29" s="699">
        <v>1.4132902044704729</v>
      </c>
      <c r="O29" s="699">
        <v>1.4132902044704729</v>
      </c>
      <c r="P29" s="699">
        <v>1.314848037179684</v>
      </c>
      <c r="Q29" s="699">
        <v>1.2073041160886684</v>
      </c>
      <c r="R29" s="699">
        <v>0.97656746014641405</v>
      </c>
      <c r="S29" s="699">
        <v>0.9702091622284984</v>
      </c>
      <c r="T29" s="699">
        <v>1.1761952506103031</v>
      </c>
      <c r="U29" s="699">
        <v>0.55794737125698979</v>
      </c>
      <c r="V29" s="699">
        <v>7.9345436046461659E-2</v>
      </c>
      <c r="W29" s="699">
        <v>7.9312432183643769E-2</v>
      </c>
      <c r="X29" s="699">
        <v>7.9312432183643769E-2</v>
      </c>
      <c r="Y29" s="699">
        <v>7.3615989804000664E-2</v>
      </c>
      <c r="Z29" s="699">
        <v>7.3615989804000664E-2</v>
      </c>
      <c r="AA29" s="699">
        <v>6.213462435327146E-2</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713">
        <v>24700.304699847838</v>
      </c>
      <c r="AR29" s="714">
        <v>24700.304699847838</v>
      </c>
      <c r="AS29" s="715">
        <v>24700.304699847838</v>
      </c>
      <c r="AT29" s="714">
        <v>24700.304699847838</v>
      </c>
      <c r="AU29" s="715">
        <v>22574.25944631996</v>
      </c>
      <c r="AV29" s="714">
        <v>20251.644562131762</v>
      </c>
      <c r="AW29" s="715">
        <v>15268.448989731694</v>
      </c>
      <c r="AX29" s="714">
        <v>15212.750299970754</v>
      </c>
      <c r="AY29" s="715">
        <v>19661.410437686831</v>
      </c>
      <c r="AZ29" s="714">
        <v>6309.1752565971346</v>
      </c>
      <c r="BA29" s="715">
        <v>2271.7298937337418</v>
      </c>
      <c r="BB29" s="714">
        <v>1999.7403088755761</v>
      </c>
      <c r="BC29" s="715">
        <v>1999.7403088755761</v>
      </c>
      <c r="BD29" s="714">
        <v>1476.8922105708975</v>
      </c>
      <c r="BE29" s="715">
        <v>1476.8922105708975</v>
      </c>
      <c r="BF29" s="714">
        <v>1341.9150230185064</v>
      </c>
      <c r="BG29" s="715">
        <v>0</v>
      </c>
      <c r="BH29" s="714">
        <v>0</v>
      </c>
      <c r="BI29" s="715">
        <v>0</v>
      </c>
      <c r="BJ29" s="714">
        <v>0</v>
      </c>
      <c r="BK29" s="715">
        <v>0</v>
      </c>
      <c r="BL29" s="714">
        <v>0</v>
      </c>
      <c r="BM29" s="715">
        <v>0</v>
      </c>
      <c r="BN29" s="714">
        <v>0</v>
      </c>
      <c r="BO29" s="715">
        <v>0</v>
      </c>
      <c r="BP29" s="714">
        <v>0</v>
      </c>
      <c r="BQ29" s="715">
        <v>0</v>
      </c>
      <c r="BR29" s="714">
        <v>0</v>
      </c>
      <c r="BS29" s="715">
        <v>0</v>
      </c>
      <c r="BT29" s="716">
        <v>0</v>
      </c>
      <c r="BU29" s="16"/>
    </row>
    <row r="30" spans="2:73" s="17" customFormat="1" ht="15.5">
      <c r="B30" s="694" t="s">
        <v>696</v>
      </c>
      <c r="C30" s="694" t="s">
        <v>697</v>
      </c>
      <c r="D30" s="694" t="s">
        <v>5</v>
      </c>
      <c r="E30" s="694" t="s">
        <v>684</v>
      </c>
      <c r="F30" s="694" t="s">
        <v>29</v>
      </c>
      <c r="G30" s="694" t="s">
        <v>701</v>
      </c>
      <c r="H30" s="694">
        <v>2011</v>
      </c>
      <c r="I30" s="646" t="s">
        <v>581</v>
      </c>
      <c r="J30" s="646" t="s">
        <v>591</v>
      </c>
      <c r="K30" s="635"/>
      <c r="L30" s="698">
        <v>9.0660256434712413E-2</v>
      </c>
      <c r="M30" s="699">
        <v>9.0660256434712413E-2</v>
      </c>
      <c r="N30" s="699">
        <v>9.0660256434712413E-2</v>
      </c>
      <c r="O30" s="699">
        <v>9.0660256434712413E-2</v>
      </c>
      <c r="P30" s="699">
        <v>9.0660256434712413E-2</v>
      </c>
      <c r="Q30" s="699">
        <v>8.2903369332395907E-2</v>
      </c>
      <c r="R30" s="699">
        <v>4.7375459998657221E-2</v>
      </c>
      <c r="S30" s="699">
        <v>4.7354521634050226E-2</v>
      </c>
      <c r="T30" s="699">
        <v>4.7354521634050226E-2</v>
      </c>
      <c r="U30" s="699">
        <v>1.4869782043559512E-2</v>
      </c>
      <c r="V30" s="699">
        <v>6.1782101340015034E-3</v>
      </c>
      <c r="W30" s="699">
        <v>6.1765562821904955E-3</v>
      </c>
      <c r="X30" s="699">
        <v>6.1765562821904955E-3</v>
      </c>
      <c r="Y30" s="699">
        <v>5.8925600842529196E-3</v>
      </c>
      <c r="Z30" s="699">
        <v>5.8925600842529196E-3</v>
      </c>
      <c r="AA30" s="699">
        <v>5.8795562667989998E-3</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698">
        <v>1835.1501569101656</v>
      </c>
      <c r="AR30" s="699">
        <v>1835.1501569101656</v>
      </c>
      <c r="AS30" s="699">
        <v>1835.1501569101656</v>
      </c>
      <c r="AT30" s="699">
        <v>1835.1501569101656</v>
      </c>
      <c r="AU30" s="699">
        <v>1835.1501569101656</v>
      </c>
      <c r="AV30" s="699">
        <v>1667.6254725204228</v>
      </c>
      <c r="AW30" s="699">
        <v>900.33290790587284</v>
      </c>
      <c r="AX30" s="699">
        <v>900.14948783191562</v>
      </c>
      <c r="AY30" s="699">
        <v>900.14948783191562</v>
      </c>
      <c r="AZ30" s="699">
        <v>198.57994381280255</v>
      </c>
      <c r="BA30" s="699">
        <v>166.82926952607212</v>
      </c>
      <c r="BB30" s="699">
        <v>153.19963865602935</v>
      </c>
      <c r="BC30" s="699">
        <v>153.19963865602935</v>
      </c>
      <c r="BD30" s="699">
        <v>127.13304092337155</v>
      </c>
      <c r="BE30" s="699">
        <v>127.13304092337155</v>
      </c>
      <c r="BF30" s="699">
        <v>126.98016549101054</v>
      </c>
      <c r="BG30" s="699">
        <v>0</v>
      </c>
      <c r="BH30" s="699">
        <v>0</v>
      </c>
      <c r="BI30" s="699">
        <v>0</v>
      </c>
      <c r="BJ30" s="699">
        <v>0</v>
      </c>
      <c r="BK30" s="699">
        <v>0</v>
      </c>
      <c r="BL30" s="699">
        <v>0</v>
      </c>
      <c r="BM30" s="699">
        <v>0</v>
      </c>
      <c r="BN30" s="699">
        <v>0</v>
      </c>
      <c r="BO30" s="699">
        <v>0</v>
      </c>
      <c r="BP30" s="699">
        <v>0</v>
      </c>
      <c r="BQ30" s="699">
        <v>0</v>
      </c>
      <c r="BR30" s="699">
        <v>0</v>
      </c>
      <c r="BS30" s="699">
        <v>0</v>
      </c>
      <c r="BT30" s="700">
        <v>0</v>
      </c>
      <c r="BU30" s="16"/>
    </row>
    <row r="31" spans="2:73" s="17" customFormat="1" ht="15.5">
      <c r="B31" s="694" t="s">
        <v>696</v>
      </c>
      <c r="C31" s="694" t="s">
        <v>697</v>
      </c>
      <c r="D31" s="694" t="s">
        <v>4</v>
      </c>
      <c r="E31" s="694" t="s">
        <v>684</v>
      </c>
      <c r="F31" s="694" t="s">
        <v>29</v>
      </c>
      <c r="G31" s="694" t="s">
        <v>701</v>
      </c>
      <c r="H31" s="694">
        <v>2011</v>
      </c>
      <c r="I31" s="646" t="s">
        <v>580</v>
      </c>
      <c r="J31" s="646" t="s">
        <v>598</v>
      </c>
      <c r="K31" s="635"/>
      <c r="L31" s="698">
        <v>0.96713611739315808</v>
      </c>
      <c r="M31" s="699">
        <v>0.96713611739315808</v>
      </c>
      <c r="N31" s="699">
        <v>0.96713611739315808</v>
      </c>
      <c r="O31" s="699">
        <v>0.96713611739315808</v>
      </c>
      <c r="P31" s="699">
        <v>0.90917215698942377</v>
      </c>
      <c r="Q31" s="699">
        <v>0.84584897186116192</v>
      </c>
      <c r="R31" s="699">
        <v>0.71456874536530879</v>
      </c>
      <c r="S31" s="699">
        <v>0.70703971322758641</v>
      </c>
      <c r="T31" s="699">
        <v>0.82832685875958245</v>
      </c>
      <c r="U31" s="699">
        <v>0.46429489375142036</v>
      </c>
      <c r="V31" s="699">
        <v>6.0591488141707277E-2</v>
      </c>
      <c r="W31" s="699">
        <v>6.0546889976095933E-2</v>
      </c>
      <c r="X31" s="699">
        <v>6.0546889976095933E-2</v>
      </c>
      <c r="Y31" s="699">
        <v>5.94846647595361E-2</v>
      </c>
      <c r="Z31" s="699">
        <v>5.94846647595361E-2</v>
      </c>
      <c r="AA31" s="699">
        <v>5.666156784655868E-2</v>
      </c>
      <c r="AB31" s="699">
        <v>0</v>
      </c>
      <c r="AC31" s="699">
        <v>0</v>
      </c>
      <c r="AD31" s="699">
        <v>0</v>
      </c>
      <c r="AE31" s="699">
        <v>0</v>
      </c>
      <c r="AF31" s="699">
        <v>0</v>
      </c>
      <c r="AG31" s="699">
        <v>0</v>
      </c>
      <c r="AH31" s="699">
        <v>0</v>
      </c>
      <c r="AI31" s="699">
        <v>0</v>
      </c>
      <c r="AJ31" s="699">
        <v>0</v>
      </c>
      <c r="AK31" s="699">
        <v>0</v>
      </c>
      <c r="AL31" s="699">
        <v>0</v>
      </c>
      <c r="AM31" s="699">
        <v>0</v>
      </c>
      <c r="AN31" s="699">
        <v>0</v>
      </c>
      <c r="AO31" s="700">
        <v>0</v>
      </c>
      <c r="AP31" s="635"/>
      <c r="AQ31" s="709">
        <v>15770.737320741542</v>
      </c>
      <c r="AR31" s="710">
        <v>15770.737320741542</v>
      </c>
      <c r="AS31" s="711">
        <v>15770.737320741542</v>
      </c>
      <c r="AT31" s="710">
        <v>15770.737320741542</v>
      </c>
      <c r="AU31" s="711">
        <v>14518.895693484235</v>
      </c>
      <c r="AV31" s="710">
        <v>13151.31144696384</v>
      </c>
      <c r="AW31" s="711">
        <v>10316.066042429868</v>
      </c>
      <c r="AX31" s="710">
        <v>10250.11172090342</v>
      </c>
      <c r="AY31" s="711">
        <v>12869.537594681124</v>
      </c>
      <c r="AZ31" s="710">
        <v>5007.5770889573914</v>
      </c>
      <c r="BA31" s="711">
        <v>1721.9391423702602</v>
      </c>
      <c r="BB31" s="710">
        <v>1354.3992390262065</v>
      </c>
      <c r="BC31" s="711">
        <v>1354.3992390262065</v>
      </c>
      <c r="BD31" s="710">
        <v>1256.9028724458462</v>
      </c>
      <c r="BE31" s="711">
        <v>1256.9028724458462</v>
      </c>
      <c r="BF31" s="710">
        <v>1223.7139905888255</v>
      </c>
      <c r="BG31" s="711">
        <v>0</v>
      </c>
      <c r="BH31" s="710">
        <v>0</v>
      </c>
      <c r="BI31" s="711">
        <v>0</v>
      </c>
      <c r="BJ31" s="710">
        <v>0</v>
      </c>
      <c r="BK31" s="711">
        <v>0</v>
      </c>
      <c r="BL31" s="710">
        <v>0</v>
      </c>
      <c r="BM31" s="711">
        <v>0</v>
      </c>
      <c r="BN31" s="710">
        <v>0</v>
      </c>
      <c r="BO31" s="711">
        <v>0</v>
      </c>
      <c r="BP31" s="710">
        <v>0</v>
      </c>
      <c r="BQ31" s="711">
        <v>0</v>
      </c>
      <c r="BR31" s="710">
        <v>0</v>
      </c>
      <c r="BS31" s="711">
        <v>0</v>
      </c>
      <c r="BT31" s="712">
        <v>0</v>
      </c>
      <c r="BU31" s="16"/>
    </row>
    <row r="32" spans="2:73" s="17" customFormat="1" ht="15.5">
      <c r="B32" s="694" t="s">
        <v>696</v>
      </c>
      <c r="C32" s="694" t="s">
        <v>697</v>
      </c>
      <c r="D32" s="694" t="s">
        <v>4</v>
      </c>
      <c r="E32" s="694" t="s">
        <v>684</v>
      </c>
      <c r="F32" s="694" t="s">
        <v>29</v>
      </c>
      <c r="G32" s="694" t="s">
        <v>701</v>
      </c>
      <c r="H32" s="694">
        <v>2011</v>
      </c>
      <c r="I32" s="646" t="s">
        <v>581</v>
      </c>
      <c r="J32" s="646" t="s">
        <v>591</v>
      </c>
      <c r="K32" s="635"/>
      <c r="L32" s="698">
        <v>1.353127784187831E-2</v>
      </c>
      <c r="M32" s="699">
        <v>1.353127784187831E-2</v>
      </c>
      <c r="N32" s="699">
        <v>1.353127784187831E-2</v>
      </c>
      <c r="O32" s="699">
        <v>1.353127784187831E-2</v>
      </c>
      <c r="P32" s="699">
        <v>1.353127784187831E-2</v>
      </c>
      <c r="Q32" s="699">
        <v>1.2605253510215665E-2</v>
      </c>
      <c r="R32" s="699">
        <v>8.8167422171363946E-3</v>
      </c>
      <c r="S32" s="699">
        <v>8.796557144381106E-3</v>
      </c>
      <c r="T32" s="699">
        <v>8.796557144381106E-3</v>
      </c>
      <c r="U32" s="699">
        <v>4.9184989914481236E-3</v>
      </c>
      <c r="V32" s="699">
        <v>6.5015881933138038E-4</v>
      </c>
      <c r="W32" s="699">
        <v>6.4947302477932054E-4</v>
      </c>
      <c r="X32" s="699">
        <v>6.4947302477932054E-4</v>
      </c>
      <c r="Y32" s="699">
        <v>6.3260997029614E-4</v>
      </c>
      <c r="Z32" s="699">
        <v>6.3260997029614E-4</v>
      </c>
      <c r="AA32" s="699">
        <v>6.2103990098065877E-4</v>
      </c>
      <c r="AB32" s="699">
        <v>0</v>
      </c>
      <c r="AC32" s="699">
        <v>0</v>
      </c>
      <c r="AD32" s="699">
        <v>0</v>
      </c>
      <c r="AE32" s="699">
        <v>0</v>
      </c>
      <c r="AF32" s="699">
        <v>0</v>
      </c>
      <c r="AG32" s="699">
        <v>0</v>
      </c>
      <c r="AH32" s="699">
        <v>0</v>
      </c>
      <c r="AI32" s="699">
        <v>0</v>
      </c>
      <c r="AJ32" s="699">
        <v>0</v>
      </c>
      <c r="AK32" s="699">
        <v>0</v>
      </c>
      <c r="AL32" s="699">
        <v>0</v>
      </c>
      <c r="AM32" s="699">
        <v>0</v>
      </c>
      <c r="AN32" s="699">
        <v>0</v>
      </c>
      <c r="AO32" s="700">
        <v>0</v>
      </c>
      <c r="AP32" s="635"/>
      <c r="AQ32" s="701">
        <v>231.689431189977</v>
      </c>
      <c r="AR32" s="702">
        <v>231.689431189977</v>
      </c>
      <c r="AS32" s="702">
        <v>231.689431189977</v>
      </c>
      <c r="AT32" s="702">
        <v>231.689431189977</v>
      </c>
      <c r="AU32" s="702">
        <v>231.689431189977</v>
      </c>
      <c r="AV32" s="702">
        <v>211.69017996293795</v>
      </c>
      <c r="AW32" s="702">
        <v>129.87009539698573</v>
      </c>
      <c r="AX32" s="702">
        <v>129.69327415964941</v>
      </c>
      <c r="AY32" s="702">
        <v>129.69327415964941</v>
      </c>
      <c r="AZ32" s="702">
        <v>45.939255370185691</v>
      </c>
      <c r="BA32" s="702">
        <v>20.748061676824811</v>
      </c>
      <c r="BB32" s="702">
        <v>15.096330043408566</v>
      </c>
      <c r="BC32" s="702">
        <v>15.096330043408566</v>
      </c>
      <c r="BD32" s="702">
        <v>13.548554189544571</v>
      </c>
      <c r="BE32" s="702">
        <v>13.548554189544571</v>
      </c>
      <c r="BF32" s="702">
        <v>13.412534181933831</v>
      </c>
      <c r="BG32" s="702">
        <v>0</v>
      </c>
      <c r="BH32" s="702">
        <v>0</v>
      </c>
      <c r="BI32" s="702">
        <v>0</v>
      </c>
      <c r="BJ32" s="702">
        <v>0</v>
      </c>
      <c r="BK32" s="702">
        <v>0</v>
      </c>
      <c r="BL32" s="702">
        <v>0</v>
      </c>
      <c r="BM32" s="702">
        <v>0</v>
      </c>
      <c r="BN32" s="702">
        <v>0</v>
      </c>
      <c r="BO32" s="702">
        <v>0</v>
      </c>
      <c r="BP32" s="702">
        <v>0</v>
      </c>
      <c r="BQ32" s="702">
        <v>0</v>
      </c>
      <c r="BR32" s="702">
        <v>0</v>
      </c>
      <c r="BS32" s="702">
        <v>0</v>
      </c>
      <c r="BT32" s="703">
        <v>0</v>
      </c>
      <c r="BU32" s="16"/>
    </row>
    <row r="33" spans="2:73" s="17" customFormat="1" ht="15.5">
      <c r="B33" s="694" t="s">
        <v>696</v>
      </c>
      <c r="C33" s="694" t="s">
        <v>698</v>
      </c>
      <c r="D33" s="694" t="s">
        <v>21</v>
      </c>
      <c r="E33" s="694" t="s">
        <v>684</v>
      </c>
      <c r="F33" s="694" t="s">
        <v>700</v>
      </c>
      <c r="G33" s="694" t="s">
        <v>701</v>
      </c>
      <c r="H33" s="694">
        <v>2011</v>
      </c>
      <c r="I33" s="646" t="s">
        <v>580</v>
      </c>
      <c r="J33" s="646" t="s">
        <v>598</v>
      </c>
      <c r="K33" s="635"/>
      <c r="L33" s="698">
        <v>2.4160712191013309</v>
      </c>
      <c r="M33" s="699">
        <v>2.4160712191013309</v>
      </c>
      <c r="N33" s="699">
        <v>2.4160712191013309</v>
      </c>
      <c r="O33" s="699">
        <v>2.4160712191013309</v>
      </c>
      <c r="P33" s="699">
        <v>2.4160712191013309</v>
      </c>
      <c r="Q33" s="699">
        <v>2.4160712191013309</v>
      </c>
      <c r="R33" s="699">
        <v>0.37445071349925246</v>
      </c>
      <c r="S33" s="699">
        <v>0.37445071349925246</v>
      </c>
      <c r="T33" s="699">
        <v>0.37445071349925246</v>
      </c>
      <c r="U33" s="699">
        <v>0.37445071349925246</v>
      </c>
      <c r="V33" s="699">
        <v>0.37445071349925246</v>
      </c>
      <c r="W33" s="699">
        <v>0.37445071349925246</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705">
        <v>5986.3738864668394</v>
      </c>
      <c r="AR33" s="706">
        <v>5986.3738864668394</v>
      </c>
      <c r="AS33" s="707">
        <v>5986.3738864668394</v>
      </c>
      <c r="AT33" s="706">
        <v>5986.3738864668394</v>
      </c>
      <c r="AU33" s="707">
        <v>5986.3738864668394</v>
      </c>
      <c r="AV33" s="706">
        <v>5986.3738864668394</v>
      </c>
      <c r="AW33" s="707">
        <v>927.78337474374803</v>
      </c>
      <c r="AX33" s="706">
        <v>927.78337474374803</v>
      </c>
      <c r="AY33" s="707">
        <v>927.78337474374803</v>
      </c>
      <c r="AZ33" s="706">
        <v>927.78337474374803</v>
      </c>
      <c r="BA33" s="707">
        <v>927.78337474374803</v>
      </c>
      <c r="BB33" s="706">
        <v>927.78337474374803</v>
      </c>
      <c r="BC33" s="707">
        <v>0</v>
      </c>
      <c r="BD33" s="706">
        <v>0</v>
      </c>
      <c r="BE33" s="707">
        <v>0</v>
      </c>
      <c r="BF33" s="706">
        <v>0</v>
      </c>
      <c r="BG33" s="707">
        <v>0</v>
      </c>
      <c r="BH33" s="706">
        <v>0</v>
      </c>
      <c r="BI33" s="707">
        <v>0</v>
      </c>
      <c r="BJ33" s="706">
        <v>0</v>
      </c>
      <c r="BK33" s="707">
        <v>0</v>
      </c>
      <c r="BL33" s="706">
        <v>0</v>
      </c>
      <c r="BM33" s="707">
        <v>0</v>
      </c>
      <c r="BN33" s="706">
        <v>0</v>
      </c>
      <c r="BO33" s="707">
        <v>0</v>
      </c>
      <c r="BP33" s="706">
        <v>0</v>
      </c>
      <c r="BQ33" s="707">
        <v>0</v>
      </c>
      <c r="BR33" s="706">
        <v>0</v>
      </c>
      <c r="BS33" s="707">
        <v>0</v>
      </c>
      <c r="BT33" s="708">
        <v>0</v>
      </c>
      <c r="BU33" s="16"/>
    </row>
    <row r="34" spans="2:73" s="17" customFormat="1" ht="15.5">
      <c r="B34" s="694" t="s">
        <v>696</v>
      </c>
      <c r="C34" s="694" t="s">
        <v>699</v>
      </c>
      <c r="D34" s="694" t="s">
        <v>17</v>
      </c>
      <c r="E34" s="694" t="s">
        <v>684</v>
      </c>
      <c r="F34" s="694" t="s">
        <v>700</v>
      </c>
      <c r="G34" s="694" t="s">
        <v>701</v>
      </c>
      <c r="H34" s="694">
        <v>2011</v>
      </c>
      <c r="I34" s="646" t="s">
        <v>580</v>
      </c>
      <c r="J34" s="646" t="s">
        <v>598</v>
      </c>
      <c r="K34" s="635"/>
      <c r="L34" s="698">
        <v>3.3896609523937457E-2</v>
      </c>
      <c r="M34" s="699">
        <v>3.3896609523937457E-2</v>
      </c>
      <c r="N34" s="699">
        <v>3.3896609523937457E-2</v>
      </c>
      <c r="O34" s="699">
        <v>3.3896609523937457E-2</v>
      </c>
      <c r="P34" s="699">
        <v>3.3896609523937457E-2</v>
      </c>
      <c r="Q34" s="699">
        <v>3.3896609523937457E-2</v>
      </c>
      <c r="R34" s="699">
        <v>3.3896609523937457E-2</v>
      </c>
      <c r="S34" s="699">
        <v>3.3896609523937457E-2</v>
      </c>
      <c r="T34" s="699">
        <v>3.3896609523937457E-2</v>
      </c>
      <c r="U34" s="699">
        <v>3.3896609523937457E-2</v>
      </c>
      <c r="V34" s="699">
        <v>3.3896609523937457E-2</v>
      </c>
      <c r="W34" s="699">
        <v>3.3896609523937457E-2</v>
      </c>
      <c r="X34" s="699">
        <v>3.3896609523937457E-2</v>
      </c>
      <c r="Y34" s="699">
        <v>3.3896609523937457E-2</v>
      </c>
      <c r="Z34" s="699">
        <v>3.3896609523937457E-2</v>
      </c>
      <c r="AA34" s="699">
        <v>3.3896609523937457E-2</v>
      </c>
      <c r="AB34" s="699">
        <v>3.3896609523937457E-2</v>
      </c>
      <c r="AC34" s="699">
        <v>3.3896609523937457E-2</v>
      </c>
      <c r="AD34" s="699">
        <v>3.3896609523937457E-2</v>
      </c>
      <c r="AE34" s="699">
        <v>3.3896609523937457E-2</v>
      </c>
      <c r="AF34" s="699">
        <v>3.3896609523937457E-2</v>
      </c>
      <c r="AG34" s="699">
        <v>3.3896609523937457E-2</v>
      </c>
      <c r="AH34" s="699">
        <v>3.3896609523937457E-2</v>
      </c>
      <c r="AI34" s="699">
        <v>3.3896609523937457E-2</v>
      </c>
      <c r="AJ34" s="699">
        <v>3.3896609523937457E-2</v>
      </c>
      <c r="AK34" s="699">
        <v>3.3896609523937457E-2</v>
      </c>
      <c r="AL34" s="699">
        <v>0</v>
      </c>
      <c r="AM34" s="699">
        <v>0</v>
      </c>
      <c r="AN34" s="699">
        <v>0</v>
      </c>
      <c r="AO34" s="700">
        <v>0</v>
      </c>
      <c r="AP34" s="635"/>
      <c r="AQ34" s="709">
        <v>174.09298651494277</v>
      </c>
      <c r="AR34" s="710">
        <v>174.09298651494277</v>
      </c>
      <c r="AS34" s="711">
        <v>174.09298651494277</v>
      </c>
      <c r="AT34" s="710">
        <v>174.09298651494277</v>
      </c>
      <c r="AU34" s="711">
        <v>174.09298651494277</v>
      </c>
      <c r="AV34" s="710">
        <v>174.09298651494277</v>
      </c>
      <c r="AW34" s="711">
        <v>174.09298651494277</v>
      </c>
      <c r="AX34" s="710">
        <v>174.09298651494277</v>
      </c>
      <c r="AY34" s="711">
        <v>174.09298651494277</v>
      </c>
      <c r="AZ34" s="710">
        <v>174.09298651494277</v>
      </c>
      <c r="BA34" s="711">
        <v>174.09298651494277</v>
      </c>
      <c r="BB34" s="710">
        <v>174.09298651494277</v>
      </c>
      <c r="BC34" s="711">
        <v>174.09298651494277</v>
      </c>
      <c r="BD34" s="710">
        <v>174.09298651494277</v>
      </c>
      <c r="BE34" s="711">
        <v>174.09298651494277</v>
      </c>
      <c r="BF34" s="710">
        <v>174.09298651494277</v>
      </c>
      <c r="BG34" s="711">
        <v>174.09298651494277</v>
      </c>
      <c r="BH34" s="710">
        <v>174.09298651494277</v>
      </c>
      <c r="BI34" s="711">
        <v>174.09298651494277</v>
      </c>
      <c r="BJ34" s="710">
        <v>174.09298651494277</v>
      </c>
      <c r="BK34" s="711">
        <v>174.09298651494277</v>
      </c>
      <c r="BL34" s="710">
        <v>174.09298651494277</v>
      </c>
      <c r="BM34" s="711">
        <v>174.09298651494277</v>
      </c>
      <c r="BN34" s="710">
        <v>174.09298651494277</v>
      </c>
      <c r="BO34" s="711">
        <v>174.09298651494277</v>
      </c>
      <c r="BP34" s="710">
        <v>174.09298651494277</v>
      </c>
      <c r="BQ34" s="711">
        <v>0</v>
      </c>
      <c r="BR34" s="710">
        <v>0</v>
      </c>
      <c r="BS34" s="711">
        <v>0</v>
      </c>
      <c r="BT34" s="712">
        <v>0</v>
      </c>
      <c r="BU34" s="16"/>
    </row>
    <row r="35" spans="2:73" s="17" customFormat="1" ht="15.5">
      <c r="B35" s="694" t="s">
        <v>696</v>
      </c>
      <c r="C35" s="694" t="s">
        <v>699</v>
      </c>
      <c r="D35" s="694" t="s">
        <v>17</v>
      </c>
      <c r="E35" s="694" t="s">
        <v>684</v>
      </c>
      <c r="F35" s="694" t="s">
        <v>703</v>
      </c>
      <c r="G35" s="694" t="s">
        <v>701</v>
      </c>
      <c r="H35" s="694">
        <v>2011</v>
      </c>
      <c r="I35" s="646" t="s">
        <v>581</v>
      </c>
      <c r="J35" s="646" t="s">
        <v>591</v>
      </c>
      <c r="K35" s="635"/>
      <c r="L35" s="698">
        <v>0</v>
      </c>
      <c r="M35" s="699">
        <v>0</v>
      </c>
      <c r="N35" s="699">
        <v>0</v>
      </c>
      <c r="O35" s="699">
        <v>0</v>
      </c>
      <c r="P35" s="699">
        <v>0</v>
      </c>
      <c r="Q35" s="699">
        <v>0</v>
      </c>
      <c r="R35" s="699">
        <v>0</v>
      </c>
      <c r="S35" s="699">
        <v>0</v>
      </c>
      <c r="T35" s="699">
        <v>0</v>
      </c>
      <c r="U35" s="699">
        <v>0</v>
      </c>
      <c r="V35" s="699">
        <v>0</v>
      </c>
      <c r="W35" s="699">
        <v>0</v>
      </c>
      <c r="X35" s="699">
        <v>0</v>
      </c>
      <c r="Y35" s="699">
        <v>0</v>
      </c>
      <c r="Z35" s="699">
        <v>0</v>
      </c>
      <c r="AA35" s="699">
        <v>0</v>
      </c>
      <c r="AB35" s="699">
        <v>0</v>
      </c>
      <c r="AC35" s="699">
        <v>0</v>
      </c>
      <c r="AD35" s="699">
        <v>0</v>
      </c>
      <c r="AE35" s="699">
        <v>0</v>
      </c>
      <c r="AF35" s="699">
        <v>0</v>
      </c>
      <c r="AG35" s="699">
        <v>0</v>
      </c>
      <c r="AH35" s="699">
        <v>0</v>
      </c>
      <c r="AI35" s="699">
        <v>0</v>
      </c>
      <c r="AJ35" s="699">
        <v>0</v>
      </c>
      <c r="AK35" s="699">
        <v>0</v>
      </c>
      <c r="AL35" s="699">
        <v>0</v>
      </c>
      <c r="AM35" s="699">
        <v>0</v>
      </c>
      <c r="AN35" s="699">
        <v>0</v>
      </c>
      <c r="AO35" s="700">
        <v>0</v>
      </c>
      <c r="AP35" s="635"/>
      <c r="AQ35" s="713">
        <v>0</v>
      </c>
      <c r="AR35" s="714">
        <v>0</v>
      </c>
      <c r="AS35" s="715">
        <v>0</v>
      </c>
      <c r="AT35" s="714">
        <v>0</v>
      </c>
      <c r="AU35" s="715">
        <v>0</v>
      </c>
      <c r="AV35" s="714">
        <v>0</v>
      </c>
      <c r="AW35" s="715">
        <v>0</v>
      </c>
      <c r="AX35" s="714">
        <v>0</v>
      </c>
      <c r="AY35" s="715">
        <v>0</v>
      </c>
      <c r="AZ35" s="714">
        <v>0</v>
      </c>
      <c r="BA35" s="715">
        <v>0</v>
      </c>
      <c r="BB35" s="714">
        <v>0</v>
      </c>
      <c r="BC35" s="715">
        <v>0</v>
      </c>
      <c r="BD35" s="714">
        <v>0</v>
      </c>
      <c r="BE35" s="715">
        <v>0</v>
      </c>
      <c r="BF35" s="714">
        <v>0</v>
      </c>
      <c r="BG35" s="715">
        <v>0</v>
      </c>
      <c r="BH35" s="714">
        <v>0</v>
      </c>
      <c r="BI35" s="715">
        <v>0</v>
      </c>
      <c r="BJ35" s="714">
        <v>0</v>
      </c>
      <c r="BK35" s="715">
        <v>0</v>
      </c>
      <c r="BL35" s="714">
        <v>0</v>
      </c>
      <c r="BM35" s="715">
        <v>0</v>
      </c>
      <c r="BN35" s="714">
        <v>0</v>
      </c>
      <c r="BO35" s="715">
        <v>0</v>
      </c>
      <c r="BP35" s="714">
        <v>0</v>
      </c>
      <c r="BQ35" s="715">
        <v>0</v>
      </c>
      <c r="BR35" s="714">
        <v>0</v>
      </c>
      <c r="BS35" s="715">
        <v>0</v>
      </c>
      <c r="BT35" s="716">
        <v>0</v>
      </c>
      <c r="BU35" s="16"/>
    </row>
    <row r="36" spans="2:73" s="17" customFormat="1" ht="15.5">
      <c r="B36" s="694" t="s">
        <v>696</v>
      </c>
      <c r="C36" s="694" t="s">
        <v>697</v>
      </c>
      <c r="D36" s="694" t="s">
        <v>3</v>
      </c>
      <c r="E36" s="694" t="s">
        <v>684</v>
      </c>
      <c r="F36" s="694" t="s">
        <v>29</v>
      </c>
      <c r="G36" s="694" t="s">
        <v>701</v>
      </c>
      <c r="H36" s="694">
        <v>2011</v>
      </c>
      <c r="I36" s="646" t="s">
        <v>580</v>
      </c>
      <c r="J36" s="646" t="s">
        <v>598</v>
      </c>
      <c r="K36" s="635"/>
      <c r="L36" s="698">
        <v>0.71595642664905335</v>
      </c>
      <c r="M36" s="699">
        <v>0.71595642664905335</v>
      </c>
      <c r="N36" s="699">
        <v>0.71595642664905335</v>
      </c>
      <c r="O36" s="699">
        <v>0.71595642664905335</v>
      </c>
      <c r="P36" s="699">
        <v>0.71595642664905335</v>
      </c>
      <c r="Q36" s="699">
        <v>0.71595642664905335</v>
      </c>
      <c r="R36" s="699">
        <v>0.71595642664905335</v>
      </c>
      <c r="S36" s="699">
        <v>0.71595642664905335</v>
      </c>
      <c r="T36" s="699">
        <v>0.71595642664905335</v>
      </c>
      <c r="U36" s="699">
        <v>0.71595642664905335</v>
      </c>
      <c r="V36" s="699">
        <v>0.71595642664905335</v>
      </c>
      <c r="W36" s="699">
        <v>0.71595642664905335</v>
      </c>
      <c r="X36" s="699">
        <v>0.71595642664905335</v>
      </c>
      <c r="Y36" s="699">
        <v>0.71595642664905335</v>
      </c>
      <c r="Z36" s="699">
        <v>0.71595642664905335</v>
      </c>
      <c r="AA36" s="699">
        <v>0.71595642664905335</v>
      </c>
      <c r="AB36" s="699">
        <v>0.71595642664905335</v>
      </c>
      <c r="AC36" s="699">
        <v>0.71595642664905335</v>
      </c>
      <c r="AD36" s="699">
        <v>0.66151162025220323</v>
      </c>
      <c r="AE36" s="699">
        <v>0</v>
      </c>
      <c r="AF36" s="699">
        <v>0</v>
      </c>
      <c r="AG36" s="699">
        <v>0</v>
      </c>
      <c r="AH36" s="699">
        <v>0</v>
      </c>
      <c r="AI36" s="699">
        <v>0</v>
      </c>
      <c r="AJ36" s="699">
        <v>0</v>
      </c>
      <c r="AK36" s="699">
        <v>0</v>
      </c>
      <c r="AL36" s="699">
        <v>0</v>
      </c>
      <c r="AM36" s="699">
        <v>0</v>
      </c>
      <c r="AN36" s="699">
        <v>0</v>
      </c>
      <c r="AO36" s="700">
        <v>0</v>
      </c>
      <c r="AP36" s="635"/>
      <c r="AQ36" s="713">
        <v>1408.0164354835238</v>
      </c>
      <c r="AR36" s="714">
        <v>1408.0164354835238</v>
      </c>
      <c r="AS36" s="715">
        <v>1408.0164354835238</v>
      </c>
      <c r="AT36" s="714">
        <v>1408.0164354835238</v>
      </c>
      <c r="AU36" s="715">
        <v>1408.0164354835238</v>
      </c>
      <c r="AV36" s="714">
        <v>1408.0164354835238</v>
      </c>
      <c r="AW36" s="715">
        <v>1408.0164354835238</v>
      </c>
      <c r="AX36" s="714">
        <v>1408.0164354835238</v>
      </c>
      <c r="AY36" s="715">
        <v>1408.0164354835238</v>
      </c>
      <c r="AZ36" s="714">
        <v>1408.0164354835238</v>
      </c>
      <c r="BA36" s="715">
        <v>1408.0164354835238</v>
      </c>
      <c r="BB36" s="714">
        <v>1408.0164354835238</v>
      </c>
      <c r="BC36" s="715">
        <v>1408.0164354835238</v>
      </c>
      <c r="BD36" s="714">
        <v>1408.0164354835238</v>
      </c>
      <c r="BE36" s="715">
        <v>1408.0164354835238</v>
      </c>
      <c r="BF36" s="714">
        <v>1408.0164354835238</v>
      </c>
      <c r="BG36" s="715">
        <v>1408.0164354835238</v>
      </c>
      <c r="BH36" s="714">
        <v>1408.0164354835238</v>
      </c>
      <c r="BI36" s="715">
        <v>1359.3275074251485</v>
      </c>
      <c r="BJ36" s="714">
        <v>0</v>
      </c>
      <c r="BK36" s="715">
        <v>0</v>
      </c>
      <c r="BL36" s="714">
        <v>0</v>
      </c>
      <c r="BM36" s="715">
        <v>0</v>
      </c>
      <c r="BN36" s="714">
        <v>0</v>
      </c>
      <c r="BO36" s="715">
        <v>0</v>
      </c>
      <c r="BP36" s="714">
        <v>0</v>
      </c>
      <c r="BQ36" s="715">
        <v>0</v>
      </c>
      <c r="BR36" s="714">
        <v>0</v>
      </c>
      <c r="BS36" s="715">
        <v>0</v>
      </c>
      <c r="BT36" s="716">
        <v>0</v>
      </c>
      <c r="BU36" s="16"/>
    </row>
    <row r="37" spans="2:73" s="17" customFormat="1" ht="15.5">
      <c r="B37" s="694" t="s">
        <v>696</v>
      </c>
      <c r="C37" s="694" t="s">
        <v>697</v>
      </c>
      <c r="D37" s="694" t="s">
        <v>3</v>
      </c>
      <c r="E37" s="694" t="s">
        <v>684</v>
      </c>
      <c r="F37" s="694" t="s">
        <v>29</v>
      </c>
      <c r="G37" s="694" t="s">
        <v>701</v>
      </c>
      <c r="H37" s="694">
        <v>2011</v>
      </c>
      <c r="I37" s="646" t="s">
        <v>581</v>
      </c>
      <c r="J37" s="646" t="s">
        <v>591</v>
      </c>
      <c r="K37" s="635"/>
      <c r="L37" s="698">
        <v>-7.8664701978848631E-2</v>
      </c>
      <c r="M37" s="699">
        <v>-7.8664701978848631E-2</v>
      </c>
      <c r="N37" s="699">
        <v>-7.8664701978848631E-2</v>
      </c>
      <c r="O37" s="699">
        <v>-7.8664701978848631E-2</v>
      </c>
      <c r="P37" s="699">
        <v>-7.8664701978848631E-2</v>
      </c>
      <c r="Q37" s="699">
        <v>-7.8664701978848631E-2</v>
      </c>
      <c r="R37" s="699">
        <v>-7.8664701978848631E-2</v>
      </c>
      <c r="S37" s="699">
        <v>-7.8664701978848631E-2</v>
      </c>
      <c r="T37" s="699">
        <v>-7.8664701978848631E-2</v>
      </c>
      <c r="U37" s="699">
        <v>-7.8664701978848631E-2</v>
      </c>
      <c r="V37" s="699">
        <v>-7.8664701978848631E-2</v>
      </c>
      <c r="W37" s="699">
        <v>-7.8664701978848631E-2</v>
      </c>
      <c r="X37" s="699">
        <v>-7.8664701978848631E-2</v>
      </c>
      <c r="Y37" s="699">
        <v>-7.8664701978848631E-2</v>
      </c>
      <c r="Z37" s="699">
        <v>-7.8664701978848631E-2</v>
      </c>
      <c r="AA37" s="699">
        <v>-7.8664701978848631E-2</v>
      </c>
      <c r="AB37" s="699">
        <v>-7.8664701978848631E-2</v>
      </c>
      <c r="AC37" s="699">
        <v>-7.8664701978848631E-2</v>
      </c>
      <c r="AD37" s="699">
        <v>-6.4902772618596116E-2</v>
      </c>
      <c r="AE37" s="699">
        <v>0</v>
      </c>
      <c r="AF37" s="699">
        <v>0</v>
      </c>
      <c r="AG37" s="699">
        <v>0</v>
      </c>
      <c r="AH37" s="699">
        <v>0</v>
      </c>
      <c r="AI37" s="699">
        <v>0</v>
      </c>
      <c r="AJ37" s="699">
        <v>0</v>
      </c>
      <c r="AK37" s="699">
        <v>0</v>
      </c>
      <c r="AL37" s="699">
        <v>0</v>
      </c>
      <c r="AM37" s="699">
        <v>0</v>
      </c>
      <c r="AN37" s="699">
        <v>0</v>
      </c>
      <c r="AO37" s="700">
        <v>0</v>
      </c>
      <c r="AP37" s="635"/>
      <c r="AQ37" s="709">
        <v>-145.74320761595263</v>
      </c>
      <c r="AR37" s="710">
        <v>-145.74320761595263</v>
      </c>
      <c r="AS37" s="711">
        <v>-145.74320761595263</v>
      </c>
      <c r="AT37" s="710">
        <v>-145.74320761595263</v>
      </c>
      <c r="AU37" s="711">
        <v>-145.74320761595263</v>
      </c>
      <c r="AV37" s="710">
        <v>-145.74320761595263</v>
      </c>
      <c r="AW37" s="711">
        <v>-145.74320761595263</v>
      </c>
      <c r="AX37" s="710">
        <v>-145.74320761595263</v>
      </c>
      <c r="AY37" s="711">
        <v>-145.74320761595263</v>
      </c>
      <c r="AZ37" s="710">
        <v>-145.74320761595263</v>
      </c>
      <c r="BA37" s="711">
        <v>-145.74320761595263</v>
      </c>
      <c r="BB37" s="710">
        <v>-145.74320761595263</v>
      </c>
      <c r="BC37" s="711">
        <v>-145.74320761595263</v>
      </c>
      <c r="BD37" s="710">
        <v>-145.74320761595263</v>
      </c>
      <c r="BE37" s="711">
        <v>-145.74320761595263</v>
      </c>
      <c r="BF37" s="710">
        <v>-145.74320761595263</v>
      </c>
      <c r="BG37" s="711">
        <v>-145.74320761595263</v>
      </c>
      <c r="BH37" s="710">
        <v>-145.74320761595263</v>
      </c>
      <c r="BI37" s="711">
        <v>-133.45763051315873</v>
      </c>
      <c r="BJ37" s="710">
        <v>0</v>
      </c>
      <c r="BK37" s="711">
        <v>0</v>
      </c>
      <c r="BL37" s="710">
        <v>0</v>
      </c>
      <c r="BM37" s="711">
        <v>0</v>
      </c>
      <c r="BN37" s="710">
        <v>0</v>
      </c>
      <c r="BO37" s="711">
        <v>0</v>
      </c>
      <c r="BP37" s="710">
        <v>0</v>
      </c>
      <c r="BQ37" s="711">
        <v>0</v>
      </c>
      <c r="BR37" s="710">
        <v>0</v>
      </c>
      <c r="BS37" s="711">
        <v>0</v>
      </c>
      <c r="BT37" s="712">
        <v>0</v>
      </c>
      <c r="BU37" s="16"/>
    </row>
    <row r="38" spans="2:73" s="17" customFormat="1" ht="15.5">
      <c r="B38" s="694" t="s">
        <v>696</v>
      </c>
      <c r="C38" s="694" t="s">
        <v>697</v>
      </c>
      <c r="D38" s="694" t="s">
        <v>6</v>
      </c>
      <c r="E38" s="694" t="s">
        <v>684</v>
      </c>
      <c r="F38" s="694" t="s">
        <v>29</v>
      </c>
      <c r="G38" s="694" t="s">
        <v>701</v>
      </c>
      <c r="H38" s="694">
        <v>2011</v>
      </c>
      <c r="I38" s="646" t="s">
        <v>580</v>
      </c>
      <c r="J38" s="646" t="s">
        <v>598</v>
      </c>
      <c r="K38" s="635"/>
      <c r="L38" s="698">
        <v>0</v>
      </c>
      <c r="M38" s="699">
        <v>0</v>
      </c>
      <c r="N38" s="699">
        <v>0</v>
      </c>
      <c r="O38" s="699">
        <v>0</v>
      </c>
      <c r="P38" s="699">
        <v>0</v>
      </c>
      <c r="Q38" s="699">
        <v>0</v>
      </c>
      <c r="R38" s="699">
        <v>0</v>
      </c>
      <c r="S38" s="699">
        <v>0</v>
      </c>
      <c r="T38" s="699">
        <v>0</v>
      </c>
      <c r="U38" s="699">
        <v>0</v>
      </c>
      <c r="V38" s="699">
        <v>0</v>
      </c>
      <c r="W38" s="699">
        <v>0</v>
      </c>
      <c r="X38" s="699">
        <v>0</v>
      </c>
      <c r="Y38" s="699">
        <v>0</v>
      </c>
      <c r="Z38" s="699">
        <v>0</v>
      </c>
      <c r="AA38" s="699">
        <v>0</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09">
        <v>0</v>
      </c>
      <c r="AR38" s="710">
        <v>0</v>
      </c>
      <c r="AS38" s="711">
        <v>0</v>
      </c>
      <c r="AT38" s="710">
        <v>0</v>
      </c>
      <c r="AU38" s="711">
        <v>0</v>
      </c>
      <c r="AV38" s="710">
        <v>0</v>
      </c>
      <c r="AW38" s="711">
        <v>0</v>
      </c>
      <c r="AX38" s="710">
        <v>0</v>
      </c>
      <c r="AY38" s="711">
        <v>0</v>
      </c>
      <c r="AZ38" s="710">
        <v>0</v>
      </c>
      <c r="BA38" s="711">
        <v>0</v>
      </c>
      <c r="BB38" s="710">
        <v>0</v>
      </c>
      <c r="BC38" s="711">
        <v>0</v>
      </c>
      <c r="BD38" s="710">
        <v>0</v>
      </c>
      <c r="BE38" s="711">
        <v>0</v>
      </c>
      <c r="BF38" s="710">
        <v>0</v>
      </c>
      <c r="BG38" s="711">
        <v>0</v>
      </c>
      <c r="BH38" s="710">
        <v>0</v>
      </c>
      <c r="BI38" s="711">
        <v>0</v>
      </c>
      <c r="BJ38" s="710">
        <v>0</v>
      </c>
      <c r="BK38" s="711">
        <v>0</v>
      </c>
      <c r="BL38" s="710">
        <v>0</v>
      </c>
      <c r="BM38" s="711">
        <v>0</v>
      </c>
      <c r="BN38" s="710">
        <v>0</v>
      </c>
      <c r="BO38" s="711">
        <v>0</v>
      </c>
      <c r="BP38" s="710">
        <v>0</v>
      </c>
      <c r="BQ38" s="711">
        <v>0</v>
      </c>
      <c r="BR38" s="710">
        <v>0</v>
      </c>
      <c r="BS38" s="711">
        <v>0</v>
      </c>
      <c r="BT38" s="712">
        <v>0</v>
      </c>
      <c r="BU38" s="16"/>
    </row>
    <row r="39" spans="2:73" s="17" customFormat="1" ht="15.5">
      <c r="B39" s="694" t="s">
        <v>696</v>
      </c>
      <c r="C39" s="694" t="s">
        <v>697</v>
      </c>
      <c r="D39" s="694" t="s">
        <v>2</v>
      </c>
      <c r="E39" s="694" t="s">
        <v>684</v>
      </c>
      <c r="F39" s="694" t="s">
        <v>29</v>
      </c>
      <c r="G39" s="694" t="s">
        <v>701</v>
      </c>
      <c r="H39" s="694">
        <v>2012</v>
      </c>
      <c r="I39" s="646" t="s">
        <v>581</v>
      </c>
      <c r="J39" s="646" t="s">
        <v>598</v>
      </c>
      <c r="K39" s="635"/>
      <c r="L39" s="698">
        <v>0</v>
      </c>
      <c r="M39" s="699">
        <v>4.6606663417811708E-2</v>
      </c>
      <c r="N39" s="699">
        <v>4.6606663417811708E-2</v>
      </c>
      <c r="O39" s="699">
        <v>4.6606663417811708E-2</v>
      </c>
      <c r="P39" s="699">
        <v>4.4819835997522352E-2</v>
      </c>
      <c r="Q39" s="699">
        <v>0</v>
      </c>
      <c r="R39" s="699">
        <v>0</v>
      </c>
      <c r="S39" s="699">
        <v>0</v>
      </c>
      <c r="T39" s="699">
        <v>0</v>
      </c>
      <c r="U39" s="699">
        <v>0</v>
      </c>
      <c r="V39" s="699">
        <v>0</v>
      </c>
      <c r="W39" s="699">
        <v>0</v>
      </c>
      <c r="X39" s="699">
        <v>0</v>
      </c>
      <c r="Y39" s="699">
        <v>0</v>
      </c>
      <c r="Z39" s="699">
        <v>0</v>
      </c>
      <c r="AA39" s="699">
        <v>0</v>
      </c>
      <c r="AB39" s="699">
        <v>0</v>
      </c>
      <c r="AC39" s="699">
        <v>0</v>
      </c>
      <c r="AD39" s="699">
        <v>0</v>
      </c>
      <c r="AE39" s="699">
        <v>0</v>
      </c>
      <c r="AF39" s="699">
        <v>0</v>
      </c>
      <c r="AG39" s="699">
        <v>0</v>
      </c>
      <c r="AH39" s="699">
        <v>0</v>
      </c>
      <c r="AI39" s="699">
        <v>0</v>
      </c>
      <c r="AJ39" s="699">
        <v>0</v>
      </c>
      <c r="AK39" s="699">
        <v>0</v>
      </c>
      <c r="AL39" s="699">
        <v>0</v>
      </c>
      <c r="AM39" s="699">
        <v>0</v>
      </c>
      <c r="AN39" s="699">
        <v>0</v>
      </c>
      <c r="AO39" s="700">
        <v>0</v>
      </c>
      <c r="AP39" s="635"/>
      <c r="AQ39" s="713">
        <v>0</v>
      </c>
      <c r="AR39" s="714">
        <v>81.514414638021861</v>
      </c>
      <c r="AS39" s="715">
        <v>81.514414638021861</v>
      </c>
      <c r="AT39" s="714">
        <v>81.514414638021861</v>
      </c>
      <c r="AU39" s="715">
        <v>79.916536319078816</v>
      </c>
      <c r="AV39" s="714">
        <v>0</v>
      </c>
      <c r="AW39" s="715">
        <v>0</v>
      </c>
      <c r="AX39" s="714">
        <v>0</v>
      </c>
      <c r="AY39" s="715">
        <v>0</v>
      </c>
      <c r="AZ39" s="714">
        <v>0</v>
      </c>
      <c r="BA39" s="715">
        <v>0</v>
      </c>
      <c r="BB39" s="714">
        <v>0</v>
      </c>
      <c r="BC39" s="715">
        <v>0</v>
      </c>
      <c r="BD39" s="714">
        <v>0</v>
      </c>
      <c r="BE39" s="715">
        <v>0</v>
      </c>
      <c r="BF39" s="714">
        <v>0</v>
      </c>
      <c r="BG39" s="715">
        <v>0</v>
      </c>
      <c r="BH39" s="714">
        <v>0</v>
      </c>
      <c r="BI39" s="715">
        <v>0</v>
      </c>
      <c r="BJ39" s="714">
        <v>0</v>
      </c>
      <c r="BK39" s="715">
        <v>0</v>
      </c>
      <c r="BL39" s="714">
        <v>0</v>
      </c>
      <c r="BM39" s="715">
        <v>0</v>
      </c>
      <c r="BN39" s="714">
        <v>0</v>
      </c>
      <c r="BO39" s="715">
        <v>0</v>
      </c>
      <c r="BP39" s="714">
        <v>0</v>
      </c>
      <c r="BQ39" s="715">
        <v>0</v>
      </c>
      <c r="BR39" s="714">
        <v>0</v>
      </c>
      <c r="BS39" s="715">
        <v>0</v>
      </c>
      <c r="BT39" s="716">
        <v>0</v>
      </c>
      <c r="BU39" s="16"/>
    </row>
    <row r="40" spans="2:73" s="17" customFormat="1" ht="15.5">
      <c r="B40" s="694" t="s">
        <v>696</v>
      </c>
      <c r="C40" s="694" t="s">
        <v>697</v>
      </c>
      <c r="D40" s="694" t="s">
        <v>1</v>
      </c>
      <c r="E40" s="694" t="s">
        <v>684</v>
      </c>
      <c r="F40" s="694" t="s">
        <v>29</v>
      </c>
      <c r="G40" s="694" t="s">
        <v>701</v>
      </c>
      <c r="H40" s="694">
        <v>2012</v>
      </c>
      <c r="I40" s="646" t="s">
        <v>581</v>
      </c>
      <c r="J40" s="646" t="s">
        <v>598</v>
      </c>
      <c r="K40" s="635"/>
      <c r="L40" s="698">
        <v>0</v>
      </c>
      <c r="M40" s="699">
        <v>1.3993541791475068</v>
      </c>
      <c r="N40" s="699">
        <v>1.3993541791475068</v>
      </c>
      <c r="O40" s="699">
        <v>1.3993541791475068</v>
      </c>
      <c r="P40" s="699">
        <v>1.3993541791475068</v>
      </c>
      <c r="Q40" s="699">
        <v>1.2763559640889865</v>
      </c>
      <c r="R40" s="699">
        <v>0</v>
      </c>
      <c r="S40" s="699">
        <v>0</v>
      </c>
      <c r="T40" s="699">
        <v>0</v>
      </c>
      <c r="U40" s="699">
        <v>0</v>
      </c>
      <c r="V40" s="699">
        <v>0</v>
      </c>
      <c r="W40" s="699">
        <v>0</v>
      </c>
      <c r="X40" s="699">
        <v>0</v>
      </c>
      <c r="Y40" s="699">
        <v>0</v>
      </c>
      <c r="Z40" s="699">
        <v>0</v>
      </c>
      <c r="AA40" s="699">
        <v>0</v>
      </c>
      <c r="AB40" s="699">
        <v>0</v>
      </c>
      <c r="AC40" s="699">
        <v>0</v>
      </c>
      <c r="AD40" s="699">
        <v>0</v>
      </c>
      <c r="AE40" s="699">
        <v>0</v>
      </c>
      <c r="AF40" s="699">
        <v>0</v>
      </c>
      <c r="AG40" s="699">
        <v>0</v>
      </c>
      <c r="AH40" s="699">
        <v>0</v>
      </c>
      <c r="AI40" s="699">
        <v>0</v>
      </c>
      <c r="AJ40" s="699">
        <v>0</v>
      </c>
      <c r="AK40" s="699">
        <v>0</v>
      </c>
      <c r="AL40" s="699">
        <v>0</v>
      </c>
      <c r="AM40" s="699">
        <v>0</v>
      </c>
      <c r="AN40" s="699">
        <v>0</v>
      </c>
      <c r="AO40" s="700">
        <v>0</v>
      </c>
      <c r="AP40" s="635"/>
      <c r="AQ40" s="709">
        <v>0</v>
      </c>
      <c r="AR40" s="710">
        <v>10613.496736147417</v>
      </c>
      <c r="AS40" s="711">
        <v>10613.496736147417</v>
      </c>
      <c r="AT40" s="710">
        <v>10613.496736147417</v>
      </c>
      <c r="AU40" s="711">
        <v>10613.496736147417</v>
      </c>
      <c r="AV40" s="710">
        <v>9707.6258725595853</v>
      </c>
      <c r="AW40" s="711">
        <v>0</v>
      </c>
      <c r="AX40" s="710">
        <v>0</v>
      </c>
      <c r="AY40" s="711">
        <v>0</v>
      </c>
      <c r="AZ40" s="710">
        <v>0</v>
      </c>
      <c r="BA40" s="711">
        <v>0</v>
      </c>
      <c r="BB40" s="710">
        <v>0</v>
      </c>
      <c r="BC40" s="711">
        <v>0</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5">
      <c r="B41" s="694" t="s">
        <v>696</v>
      </c>
      <c r="C41" s="694" t="s">
        <v>697</v>
      </c>
      <c r="D41" s="694" t="s">
        <v>5</v>
      </c>
      <c r="E41" s="694" t="s">
        <v>684</v>
      </c>
      <c r="F41" s="694" t="s">
        <v>29</v>
      </c>
      <c r="G41" s="694" t="s">
        <v>701</v>
      </c>
      <c r="H41" s="694">
        <v>2012</v>
      </c>
      <c r="I41" s="646" t="s">
        <v>581</v>
      </c>
      <c r="J41" s="646" t="s">
        <v>598</v>
      </c>
      <c r="K41" s="635"/>
      <c r="L41" s="698">
        <v>0</v>
      </c>
      <c r="M41" s="699">
        <v>1.2439329487902082</v>
      </c>
      <c r="N41" s="699">
        <v>1.2439329487902082</v>
      </c>
      <c r="O41" s="699">
        <v>1.2439329487902082</v>
      </c>
      <c r="P41" s="699">
        <v>1.2439329487902082</v>
      </c>
      <c r="Q41" s="699">
        <v>1.1385958503118667</v>
      </c>
      <c r="R41" s="699">
        <v>0.96352040621138513</v>
      </c>
      <c r="S41" s="699">
        <v>0.72132308006983292</v>
      </c>
      <c r="T41" s="699">
        <v>0.71865985649163677</v>
      </c>
      <c r="U41" s="699">
        <v>0.71865985649163677</v>
      </c>
      <c r="V41" s="699">
        <v>0.46347166801104644</v>
      </c>
      <c r="W41" s="699">
        <v>0.1813282883622836</v>
      </c>
      <c r="X41" s="699">
        <v>0.18131236740719278</v>
      </c>
      <c r="Y41" s="699">
        <v>0.18131236740719278</v>
      </c>
      <c r="Z41" s="699">
        <v>0.17820091325813023</v>
      </c>
      <c r="AA41" s="699">
        <v>0.17820091325813023</v>
      </c>
      <c r="AB41" s="699">
        <v>0.17377339664716898</v>
      </c>
      <c r="AC41" s="699">
        <v>4.8757463232674998E-2</v>
      </c>
      <c r="AD41" s="699">
        <v>4.8757463232674998E-2</v>
      </c>
      <c r="AE41" s="699">
        <v>4.8757463232674998E-2</v>
      </c>
      <c r="AF41" s="699">
        <v>4.8757463232674998E-2</v>
      </c>
      <c r="AG41" s="699">
        <v>0</v>
      </c>
      <c r="AH41" s="699">
        <v>0</v>
      </c>
      <c r="AI41" s="699">
        <v>0</v>
      </c>
      <c r="AJ41" s="699">
        <v>0</v>
      </c>
      <c r="AK41" s="699">
        <v>0</v>
      </c>
      <c r="AL41" s="699">
        <v>0</v>
      </c>
      <c r="AM41" s="699">
        <v>0</v>
      </c>
      <c r="AN41" s="699">
        <v>0</v>
      </c>
      <c r="AO41" s="700">
        <v>0</v>
      </c>
      <c r="AP41" s="635"/>
      <c r="AQ41" s="713">
        <v>0</v>
      </c>
      <c r="AR41" s="714">
        <v>22510.122492356404</v>
      </c>
      <c r="AS41" s="715">
        <v>22510.122492356404</v>
      </c>
      <c r="AT41" s="714">
        <v>22510.122492356404</v>
      </c>
      <c r="AU41" s="715">
        <v>22510.122492356404</v>
      </c>
      <c r="AV41" s="714">
        <v>20235.168126726221</v>
      </c>
      <c r="AW41" s="715">
        <v>16454.081960270578</v>
      </c>
      <c r="AX41" s="714">
        <v>11223.37148495813</v>
      </c>
      <c r="AY41" s="715">
        <v>11200.041646413132</v>
      </c>
      <c r="AZ41" s="714">
        <v>11200.041646413132</v>
      </c>
      <c r="BA41" s="715">
        <v>5688.7688676158023</v>
      </c>
      <c r="BB41" s="714">
        <v>4221.8085134287094</v>
      </c>
      <c r="BC41" s="715">
        <v>4090.601630477182</v>
      </c>
      <c r="BD41" s="714">
        <v>4090.601630477182</v>
      </c>
      <c r="BE41" s="715">
        <v>3805.0167379461541</v>
      </c>
      <c r="BF41" s="714">
        <v>3805.0167379461541</v>
      </c>
      <c r="BG41" s="715">
        <v>3752.9659829594211</v>
      </c>
      <c r="BH41" s="714">
        <v>1053.0098649056079</v>
      </c>
      <c r="BI41" s="715">
        <v>1053.0098649056079</v>
      </c>
      <c r="BJ41" s="714">
        <v>1053.0098649056079</v>
      </c>
      <c r="BK41" s="715">
        <v>1053.0098649056079</v>
      </c>
      <c r="BL41" s="714">
        <v>0</v>
      </c>
      <c r="BM41" s="715">
        <v>0</v>
      </c>
      <c r="BN41" s="714">
        <v>0</v>
      </c>
      <c r="BO41" s="715">
        <v>0</v>
      </c>
      <c r="BP41" s="714">
        <v>0</v>
      </c>
      <c r="BQ41" s="715">
        <v>0</v>
      </c>
      <c r="BR41" s="714">
        <v>0</v>
      </c>
      <c r="BS41" s="715">
        <v>0</v>
      </c>
      <c r="BT41" s="716">
        <v>0</v>
      </c>
      <c r="BU41" s="16"/>
    </row>
    <row r="42" spans="2:73" s="17" customFormat="1" ht="15.5">
      <c r="B42" s="694" t="s">
        <v>702</v>
      </c>
      <c r="C42" s="694" t="s">
        <v>697</v>
      </c>
      <c r="D42" s="694" t="s">
        <v>4</v>
      </c>
      <c r="E42" s="694" t="s">
        <v>684</v>
      </c>
      <c r="F42" s="694" t="s">
        <v>29</v>
      </c>
      <c r="G42" s="694" t="s">
        <v>701</v>
      </c>
      <c r="H42" s="694">
        <v>2012</v>
      </c>
      <c r="I42" s="646" t="s">
        <v>581</v>
      </c>
      <c r="J42" s="646" t="s">
        <v>598</v>
      </c>
      <c r="K42" s="635"/>
      <c r="L42" s="698">
        <v>0</v>
      </c>
      <c r="M42" s="699">
        <v>0.19366536072512533</v>
      </c>
      <c r="N42" s="699">
        <v>0.19366536072512533</v>
      </c>
      <c r="O42" s="699">
        <v>0.19366536072512533</v>
      </c>
      <c r="P42" s="699">
        <v>0.19366536072512533</v>
      </c>
      <c r="Q42" s="699">
        <v>0.19284785747842975</v>
      </c>
      <c r="R42" s="699">
        <v>0.19284785747842975</v>
      </c>
      <c r="S42" s="699">
        <v>0.16448923730402029</v>
      </c>
      <c r="T42" s="699">
        <v>0.16414582163209501</v>
      </c>
      <c r="U42" s="699">
        <v>0.16414582163209501</v>
      </c>
      <c r="V42" s="699">
        <v>0.16414582163209501</v>
      </c>
      <c r="W42" s="699">
        <v>3.0194112422624068E-3</v>
      </c>
      <c r="X42" s="699">
        <v>3.0173318179929766E-3</v>
      </c>
      <c r="Y42" s="699">
        <v>3.0173318179929766E-3</v>
      </c>
      <c r="Z42" s="699">
        <v>2.9086803984133998E-3</v>
      </c>
      <c r="AA42" s="699">
        <v>2.9086803984133998E-3</v>
      </c>
      <c r="AB42" s="699">
        <v>2.7169375530568104E-3</v>
      </c>
      <c r="AC42" s="699">
        <v>0</v>
      </c>
      <c r="AD42" s="699">
        <v>0</v>
      </c>
      <c r="AE42" s="699">
        <v>0</v>
      </c>
      <c r="AF42" s="699">
        <v>0</v>
      </c>
      <c r="AG42" s="699">
        <v>0</v>
      </c>
      <c r="AH42" s="699">
        <v>0</v>
      </c>
      <c r="AI42" s="699">
        <v>0</v>
      </c>
      <c r="AJ42" s="699">
        <v>0</v>
      </c>
      <c r="AK42" s="699">
        <v>0</v>
      </c>
      <c r="AL42" s="699">
        <v>0</v>
      </c>
      <c r="AM42" s="699">
        <v>0</v>
      </c>
      <c r="AN42" s="699">
        <v>0</v>
      </c>
      <c r="AO42" s="700">
        <v>0</v>
      </c>
      <c r="AP42" s="635"/>
      <c r="AQ42" s="709">
        <v>0</v>
      </c>
      <c r="AR42" s="710">
        <v>1175.1951980203241</v>
      </c>
      <c r="AS42" s="711">
        <v>1175.1951980203241</v>
      </c>
      <c r="AT42" s="710">
        <v>1175.1951980203241</v>
      </c>
      <c r="AU42" s="711">
        <v>1175.1951980203241</v>
      </c>
      <c r="AV42" s="710">
        <v>1157.5396653841246</v>
      </c>
      <c r="AW42" s="711">
        <v>1157.5396653841246</v>
      </c>
      <c r="AX42" s="710">
        <v>545.08149346774235</v>
      </c>
      <c r="AY42" s="711">
        <v>542.0731721816768</v>
      </c>
      <c r="AZ42" s="710">
        <v>542.0731721816768</v>
      </c>
      <c r="BA42" s="711">
        <v>542.0731721816768</v>
      </c>
      <c r="BB42" s="710">
        <v>88.040992329951479</v>
      </c>
      <c r="BC42" s="711">
        <v>70.904157562842073</v>
      </c>
      <c r="BD42" s="710">
        <v>70.904157562842073</v>
      </c>
      <c r="BE42" s="711">
        <v>60.931584451544381</v>
      </c>
      <c r="BF42" s="710">
        <v>60.931584451544381</v>
      </c>
      <c r="BG42" s="711">
        <v>58.677417897000836</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5">
      <c r="B43" s="694" t="s">
        <v>702</v>
      </c>
      <c r="C43" s="694" t="s">
        <v>698</v>
      </c>
      <c r="D43" s="694" t="s">
        <v>21</v>
      </c>
      <c r="E43" s="694" t="s">
        <v>684</v>
      </c>
      <c r="F43" s="694" t="s">
        <v>703</v>
      </c>
      <c r="G43" s="694" t="s">
        <v>701</v>
      </c>
      <c r="H43" s="694">
        <v>2012</v>
      </c>
      <c r="I43" s="646" t="s">
        <v>581</v>
      </c>
      <c r="J43" s="646" t="s">
        <v>598</v>
      </c>
      <c r="K43" s="635"/>
      <c r="L43" s="698">
        <v>0</v>
      </c>
      <c r="M43" s="699">
        <v>14.936983217107015</v>
      </c>
      <c r="N43" s="699">
        <v>14.936983217107015</v>
      </c>
      <c r="O43" s="699">
        <v>14.936983217107015</v>
      </c>
      <c r="P43" s="699">
        <v>13.023303290678335</v>
      </c>
      <c r="Q43" s="699">
        <v>13.023303290678335</v>
      </c>
      <c r="R43" s="699">
        <v>3.4824117832228043</v>
      </c>
      <c r="S43" s="699">
        <v>3.4824117832228043</v>
      </c>
      <c r="T43" s="699">
        <v>3.4824117832228043</v>
      </c>
      <c r="U43" s="699">
        <v>3.4824117832228043</v>
      </c>
      <c r="V43" s="699">
        <v>3.4824117832228043</v>
      </c>
      <c r="W43" s="699">
        <v>3.4824117832228043</v>
      </c>
      <c r="X43" s="699">
        <v>3.4824117832228043</v>
      </c>
      <c r="Y43" s="699">
        <v>0</v>
      </c>
      <c r="Z43" s="699">
        <v>0</v>
      </c>
      <c r="AA43" s="699">
        <v>0</v>
      </c>
      <c r="AB43" s="699">
        <v>0</v>
      </c>
      <c r="AC43" s="699">
        <v>0</v>
      </c>
      <c r="AD43" s="699">
        <v>0</v>
      </c>
      <c r="AE43" s="699">
        <v>0</v>
      </c>
      <c r="AF43" s="699">
        <v>0</v>
      </c>
      <c r="AG43" s="699">
        <v>0</v>
      </c>
      <c r="AH43" s="699">
        <v>0</v>
      </c>
      <c r="AI43" s="699">
        <v>0</v>
      </c>
      <c r="AJ43" s="699">
        <v>0</v>
      </c>
      <c r="AK43" s="699">
        <v>0</v>
      </c>
      <c r="AL43" s="699">
        <v>0</v>
      </c>
      <c r="AM43" s="699">
        <v>0</v>
      </c>
      <c r="AN43" s="699">
        <v>0</v>
      </c>
      <c r="AO43" s="700">
        <v>0</v>
      </c>
      <c r="AP43" s="635"/>
      <c r="AQ43" s="744">
        <v>0</v>
      </c>
      <c r="AR43" s="745">
        <v>51442.032011675408</v>
      </c>
      <c r="AS43" s="746">
        <v>51442.032011675416</v>
      </c>
      <c r="AT43" s="745">
        <v>51442.032011675416</v>
      </c>
      <c r="AU43" s="746">
        <v>43647.417523386008</v>
      </c>
      <c r="AV43" s="745">
        <v>43647.417523386008</v>
      </c>
      <c r="AW43" s="746">
        <v>11954.144295036102</v>
      </c>
      <c r="AX43" s="745">
        <v>11954.144295036102</v>
      </c>
      <c r="AY43" s="746">
        <v>11954.144295036102</v>
      </c>
      <c r="AZ43" s="745">
        <v>11954.144295036102</v>
      </c>
      <c r="BA43" s="746">
        <v>11954.144295036102</v>
      </c>
      <c r="BB43" s="745">
        <v>11954.144295036102</v>
      </c>
      <c r="BC43" s="746">
        <v>11954.144295036102</v>
      </c>
      <c r="BD43" s="745">
        <v>0</v>
      </c>
      <c r="BE43" s="746">
        <v>0</v>
      </c>
      <c r="BF43" s="745">
        <v>0</v>
      </c>
      <c r="BG43" s="746">
        <v>0</v>
      </c>
      <c r="BH43" s="745">
        <v>0</v>
      </c>
      <c r="BI43" s="746">
        <v>0</v>
      </c>
      <c r="BJ43" s="745">
        <v>0</v>
      </c>
      <c r="BK43" s="746">
        <v>0</v>
      </c>
      <c r="BL43" s="745">
        <v>0</v>
      </c>
      <c r="BM43" s="746">
        <v>0</v>
      </c>
      <c r="BN43" s="745">
        <v>0</v>
      </c>
      <c r="BO43" s="746">
        <v>0</v>
      </c>
      <c r="BP43" s="745">
        <v>0</v>
      </c>
      <c r="BQ43" s="746">
        <v>0</v>
      </c>
      <c r="BR43" s="745">
        <v>0</v>
      </c>
      <c r="BS43" s="746">
        <v>0</v>
      </c>
      <c r="BT43" s="747">
        <v>0</v>
      </c>
      <c r="BU43" s="16"/>
    </row>
    <row r="44" spans="2:73" s="17" customFormat="1" ht="15.5">
      <c r="B44" s="694" t="s">
        <v>702</v>
      </c>
      <c r="C44" s="694" t="s">
        <v>699</v>
      </c>
      <c r="D44" s="694" t="s">
        <v>17</v>
      </c>
      <c r="E44" s="694" t="s">
        <v>684</v>
      </c>
      <c r="F44" s="694" t="s">
        <v>703</v>
      </c>
      <c r="G44" s="694" t="s">
        <v>701</v>
      </c>
      <c r="H44" s="694">
        <v>2012</v>
      </c>
      <c r="I44" s="646" t="s">
        <v>581</v>
      </c>
      <c r="J44" s="646" t="s">
        <v>598</v>
      </c>
      <c r="K44" s="635"/>
      <c r="L44" s="698">
        <v>0</v>
      </c>
      <c r="M44" s="699">
        <v>9.4977028472043618E-2</v>
      </c>
      <c r="N44" s="699">
        <v>9.4977028472043618E-2</v>
      </c>
      <c r="O44" s="699">
        <v>9.4977028472043618E-2</v>
      </c>
      <c r="P44" s="699">
        <v>9.4977028472043618E-2</v>
      </c>
      <c r="Q44" s="699">
        <v>9.4977028472043618E-2</v>
      </c>
      <c r="R44" s="699">
        <v>9.4977028472043618E-2</v>
      </c>
      <c r="S44" s="699">
        <v>9.4977028472043618E-2</v>
      </c>
      <c r="T44" s="699">
        <v>9.4977028472043618E-2</v>
      </c>
      <c r="U44" s="699">
        <v>9.4977028472043618E-2</v>
      </c>
      <c r="V44" s="699">
        <v>9.4977028472043618E-2</v>
      </c>
      <c r="W44" s="699">
        <v>9.4977028472043618E-2</v>
      </c>
      <c r="X44" s="699">
        <v>9.4977028472043618E-2</v>
      </c>
      <c r="Y44" s="699">
        <v>0</v>
      </c>
      <c r="Z44" s="699">
        <v>0</v>
      </c>
      <c r="AA44" s="699">
        <v>0</v>
      </c>
      <c r="AB44" s="699">
        <v>0</v>
      </c>
      <c r="AC44" s="699">
        <v>0</v>
      </c>
      <c r="AD44" s="699">
        <v>0</v>
      </c>
      <c r="AE44" s="699">
        <v>0</v>
      </c>
      <c r="AF44" s="699">
        <v>0</v>
      </c>
      <c r="AG44" s="699">
        <v>0</v>
      </c>
      <c r="AH44" s="699">
        <v>0</v>
      </c>
      <c r="AI44" s="699">
        <v>0</v>
      </c>
      <c r="AJ44" s="699">
        <v>0</v>
      </c>
      <c r="AK44" s="699">
        <v>0</v>
      </c>
      <c r="AL44" s="699">
        <v>0</v>
      </c>
      <c r="AM44" s="699">
        <v>0</v>
      </c>
      <c r="AN44" s="699">
        <v>0</v>
      </c>
      <c r="AO44" s="700">
        <v>0</v>
      </c>
      <c r="AP44" s="635"/>
      <c r="AQ44" s="709">
        <v>0</v>
      </c>
      <c r="AR44" s="710">
        <v>92.017191252890512</v>
      </c>
      <c r="AS44" s="711">
        <v>92.017191252890512</v>
      </c>
      <c r="AT44" s="710">
        <v>92.017191252890512</v>
      </c>
      <c r="AU44" s="711">
        <v>92.017191252890512</v>
      </c>
      <c r="AV44" s="710">
        <v>92.017191252890512</v>
      </c>
      <c r="AW44" s="711">
        <v>92.017191252890512</v>
      </c>
      <c r="AX44" s="710">
        <v>92.017191252890512</v>
      </c>
      <c r="AY44" s="711">
        <v>92.017191252890512</v>
      </c>
      <c r="AZ44" s="710">
        <v>92.017191252890512</v>
      </c>
      <c r="BA44" s="711">
        <v>92.017191252890512</v>
      </c>
      <c r="BB44" s="710">
        <v>92.017191252890512</v>
      </c>
      <c r="BC44" s="711">
        <v>92.017191252890512</v>
      </c>
      <c r="BD44" s="710">
        <v>0</v>
      </c>
      <c r="BE44" s="711">
        <v>0</v>
      </c>
      <c r="BF44" s="710">
        <v>0</v>
      </c>
      <c r="BG44" s="711">
        <v>0</v>
      </c>
      <c r="BH44" s="710">
        <v>0</v>
      </c>
      <c r="BI44" s="711">
        <v>0</v>
      </c>
      <c r="BJ44" s="710">
        <v>0</v>
      </c>
      <c r="BK44" s="711">
        <v>0</v>
      </c>
      <c r="BL44" s="710">
        <v>0</v>
      </c>
      <c r="BM44" s="711">
        <v>0</v>
      </c>
      <c r="BN44" s="710">
        <v>0</v>
      </c>
      <c r="BO44" s="711">
        <v>0</v>
      </c>
      <c r="BP44" s="710">
        <v>0</v>
      </c>
      <c r="BQ44" s="711">
        <v>0</v>
      </c>
      <c r="BR44" s="710">
        <v>0</v>
      </c>
      <c r="BS44" s="711">
        <v>0</v>
      </c>
      <c r="BT44" s="712">
        <v>0</v>
      </c>
      <c r="BU44" s="16"/>
    </row>
    <row r="45" spans="2:73" s="17" customFormat="1" ht="15.5">
      <c r="B45" s="694" t="s">
        <v>702</v>
      </c>
      <c r="C45" s="694" t="s">
        <v>697</v>
      </c>
      <c r="D45" s="694" t="s">
        <v>707</v>
      </c>
      <c r="E45" s="694" t="s">
        <v>684</v>
      </c>
      <c r="F45" s="694" t="s">
        <v>29</v>
      </c>
      <c r="G45" s="694" t="s">
        <v>701</v>
      </c>
      <c r="H45" s="694">
        <v>2012</v>
      </c>
      <c r="I45" s="646" t="s">
        <v>582</v>
      </c>
      <c r="J45" s="646" t="s">
        <v>598</v>
      </c>
      <c r="K45" s="635"/>
      <c r="L45" s="698">
        <v>0</v>
      </c>
      <c r="M45" s="699">
        <v>3.4312300872750856E-3</v>
      </c>
      <c r="N45" s="699">
        <v>3.4312300872750856E-3</v>
      </c>
      <c r="O45" s="699">
        <v>3.4312300872750856E-3</v>
      </c>
      <c r="P45" s="699">
        <v>3.4312300872750856E-3</v>
      </c>
      <c r="Q45" s="699">
        <v>3.4312300872750856E-3</v>
      </c>
      <c r="R45" s="699">
        <v>3.4312300872750856E-3</v>
      </c>
      <c r="S45" s="699">
        <v>3.4312300872750856E-3</v>
      </c>
      <c r="T45" s="699">
        <v>3.4312300872750856E-3</v>
      </c>
      <c r="U45" s="699">
        <v>3.4312300872750856E-3</v>
      </c>
      <c r="V45" s="699">
        <v>3.4312300872750856E-3</v>
      </c>
      <c r="W45" s="699">
        <v>3.4312300872750856E-3</v>
      </c>
      <c r="X45" s="699">
        <v>3.4312300872750856E-3</v>
      </c>
      <c r="Y45" s="699">
        <v>3.4312300872750856E-3</v>
      </c>
      <c r="Z45" s="699">
        <v>3.4312300872750856E-3</v>
      </c>
      <c r="AA45" s="699">
        <v>3.4312300872750856E-3</v>
      </c>
      <c r="AB45" s="699">
        <v>3.4312300872750856E-3</v>
      </c>
      <c r="AC45" s="699">
        <v>3.4312300872750856E-3</v>
      </c>
      <c r="AD45" s="699">
        <v>3.4312300872750856E-3</v>
      </c>
      <c r="AE45" s="699">
        <v>3.4312300872750856E-3</v>
      </c>
      <c r="AF45" s="699">
        <v>2.9491960391108607E-3</v>
      </c>
      <c r="AG45" s="699">
        <v>0</v>
      </c>
      <c r="AH45" s="699">
        <v>0</v>
      </c>
      <c r="AI45" s="699">
        <v>0</v>
      </c>
      <c r="AJ45" s="699">
        <v>0</v>
      </c>
      <c r="AK45" s="699">
        <v>0</v>
      </c>
      <c r="AL45" s="699">
        <v>0</v>
      </c>
      <c r="AM45" s="699">
        <v>0</v>
      </c>
      <c r="AN45" s="699">
        <v>0</v>
      </c>
      <c r="AO45" s="700">
        <v>0</v>
      </c>
      <c r="AP45" s="635"/>
      <c r="AQ45" s="698">
        <v>0</v>
      </c>
      <c r="AR45" s="699">
        <v>6.9761425843594598</v>
      </c>
      <c r="AS45" s="699">
        <v>6.9761425843594598</v>
      </c>
      <c r="AT45" s="699">
        <v>6.9761425843594598</v>
      </c>
      <c r="AU45" s="699">
        <v>6.9761425843594598</v>
      </c>
      <c r="AV45" s="699">
        <v>6.9761425843594598</v>
      </c>
      <c r="AW45" s="699">
        <v>6.9761425843594598</v>
      </c>
      <c r="AX45" s="699">
        <v>6.9761425843594598</v>
      </c>
      <c r="AY45" s="699">
        <v>6.9761425843594598</v>
      </c>
      <c r="AZ45" s="699">
        <v>6.9761425843594598</v>
      </c>
      <c r="BA45" s="699">
        <v>6.9761425843594598</v>
      </c>
      <c r="BB45" s="699">
        <v>6.9761425843594598</v>
      </c>
      <c r="BC45" s="699">
        <v>6.9761425843594598</v>
      </c>
      <c r="BD45" s="699">
        <v>6.9761425843594598</v>
      </c>
      <c r="BE45" s="699">
        <v>6.9761425843594598</v>
      </c>
      <c r="BF45" s="699">
        <v>6.9761425843594598</v>
      </c>
      <c r="BG45" s="699">
        <v>6.9761425843594598</v>
      </c>
      <c r="BH45" s="699">
        <v>6.9761425843594598</v>
      </c>
      <c r="BI45" s="699">
        <v>6.9761425843594598</v>
      </c>
      <c r="BJ45" s="699">
        <v>6.492988766621389</v>
      </c>
      <c r="BK45" s="699">
        <v>0</v>
      </c>
      <c r="BL45" s="699">
        <v>0</v>
      </c>
      <c r="BM45" s="699">
        <v>0</v>
      </c>
      <c r="BN45" s="699">
        <v>0</v>
      </c>
      <c r="BO45" s="699">
        <v>0</v>
      </c>
      <c r="BP45" s="699">
        <v>0</v>
      </c>
      <c r="BQ45" s="699">
        <v>0</v>
      </c>
      <c r="BR45" s="699">
        <v>0</v>
      </c>
      <c r="BS45" s="699">
        <v>0</v>
      </c>
      <c r="BT45" s="700">
        <v>0</v>
      </c>
      <c r="BU45" s="16"/>
    </row>
    <row r="46" spans="2:73" s="17" customFormat="1" ht="15.5">
      <c r="B46" s="694" t="s">
        <v>209</v>
      </c>
      <c r="C46" s="694" t="s">
        <v>697</v>
      </c>
      <c r="D46" s="694" t="s">
        <v>3</v>
      </c>
      <c r="E46" s="694" t="s">
        <v>684</v>
      </c>
      <c r="F46" s="694" t="s">
        <v>29</v>
      </c>
      <c r="G46" s="694" t="s">
        <v>701</v>
      </c>
      <c r="H46" s="694">
        <v>2012</v>
      </c>
      <c r="I46" s="646" t="s">
        <v>581</v>
      </c>
      <c r="J46" s="646" t="s">
        <v>598</v>
      </c>
      <c r="K46" s="635"/>
      <c r="L46" s="698">
        <v>0</v>
      </c>
      <c r="M46" s="699">
        <v>0.17151806339944087</v>
      </c>
      <c r="N46" s="699">
        <v>0.17151806339944087</v>
      </c>
      <c r="O46" s="699">
        <v>0.17151806339944087</v>
      </c>
      <c r="P46" s="699">
        <v>0.17151806339944087</v>
      </c>
      <c r="Q46" s="699">
        <v>0.17151806339944087</v>
      </c>
      <c r="R46" s="699">
        <v>0.17151806339944087</v>
      </c>
      <c r="S46" s="699">
        <v>0.17151806339944087</v>
      </c>
      <c r="T46" s="699">
        <v>0.17151806339944087</v>
      </c>
      <c r="U46" s="699">
        <v>0.17151806339944087</v>
      </c>
      <c r="V46" s="699">
        <v>0.17151806339944087</v>
      </c>
      <c r="W46" s="699">
        <v>0.17151806339944087</v>
      </c>
      <c r="X46" s="699">
        <v>0.17151806339944087</v>
      </c>
      <c r="Y46" s="699">
        <v>0.17151806339944087</v>
      </c>
      <c r="Z46" s="699">
        <v>0.17151806339944087</v>
      </c>
      <c r="AA46" s="699">
        <v>0.17151806339944087</v>
      </c>
      <c r="AB46" s="699">
        <v>0.17151806339944087</v>
      </c>
      <c r="AC46" s="699">
        <v>0.17151806339944087</v>
      </c>
      <c r="AD46" s="699">
        <v>0.17151806339944087</v>
      </c>
      <c r="AE46" s="699">
        <v>0.13752831737631147</v>
      </c>
      <c r="AF46" s="699">
        <v>0</v>
      </c>
      <c r="AG46" s="699">
        <v>0</v>
      </c>
      <c r="AH46" s="699">
        <v>0</v>
      </c>
      <c r="AI46" s="699">
        <v>0</v>
      </c>
      <c r="AJ46" s="699">
        <v>0</v>
      </c>
      <c r="AK46" s="699">
        <v>0</v>
      </c>
      <c r="AL46" s="699">
        <v>0</v>
      </c>
      <c r="AM46" s="699">
        <v>0</v>
      </c>
      <c r="AN46" s="699">
        <v>0</v>
      </c>
      <c r="AO46" s="700">
        <v>0</v>
      </c>
      <c r="AP46" s="635"/>
      <c r="AQ46" s="713">
        <v>0</v>
      </c>
      <c r="AR46" s="714">
        <v>295.88573886220655</v>
      </c>
      <c r="AS46" s="715">
        <v>295.88573886220655</v>
      </c>
      <c r="AT46" s="714">
        <v>295.88573886220655</v>
      </c>
      <c r="AU46" s="715">
        <v>295.88573886220655</v>
      </c>
      <c r="AV46" s="714">
        <v>295.88573886220655</v>
      </c>
      <c r="AW46" s="715">
        <v>295.88573886220655</v>
      </c>
      <c r="AX46" s="714">
        <v>295.88573886220655</v>
      </c>
      <c r="AY46" s="715">
        <v>295.88573886220655</v>
      </c>
      <c r="AZ46" s="714">
        <v>295.88573886220655</v>
      </c>
      <c r="BA46" s="715">
        <v>295.88573886220655</v>
      </c>
      <c r="BB46" s="714">
        <v>295.88573886220655</v>
      </c>
      <c r="BC46" s="715">
        <v>295.88573886220655</v>
      </c>
      <c r="BD46" s="714">
        <v>295.88573886220655</v>
      </c>
      <c r="BE46" s="715">
        <v>295.88573886220655</v>
      </c>
      <c r="BF46" s="714">
        <v>295.88573886220655</v>
      </c>
      <c r="BG46" s="715">
        <v>295.88573886220655</v>
      </c>
      <c r="BH46" s="714">
        <v>295.88573886220655</v>
      </c>
      <c r="BI46" s="715">
        <v>295.88573886220655</v>
      </c>
      <c r="BJ46" s="714">
        <v>265.4902582354639</v>
      </c>
      <c r="BK46" s="715">
        <v>0</v>
      </c>
      <c r="BL46" s="714">
        <v>0</v>
      </c>
      <c r="BM46" s="715">
        <v>0</v>
      </c>
      <c r="BN46" s="714">
        <v>0</v>
      </c>
      <c r="BO46" s="715">
        <v>0</v>
      </c>
      <c r="BP46" s="714">
        <v>0</v>
      </c>
      <c r="BQ46" s="715">
        <v>0</v>
      </c>
      <c r="BR46" s="714">
        <v>0</v>
      </c>
      <c r="BS46" s="715">
        <v>0</v>
      </c>
      <c r="BT46" s="716">
        <v>0</v>
      </c>
      <c r="BU46" s="16"/>
    </row>
    <row r="47" spans="2:73" s="17" customFormat="1" ht="15.5">
      <c r="B47" s="694" t="s">
        <v>209</v>
      </c>
      <c r="C47" s="694" t="s">
        <v>697</v>
      </c>
      <c r="D47" s="694" t="s">
        <v>705</v>
      </c>
      <c r="E47" s="694" t="s">
        <v>684</v>
      </c>
      <c r="F47" s="694" t="s">
        <v>29</v>
      </c>
      <c r="G47" s="694" t="s">
        <v>701</v>
      </c>
      <c r="H47" s="694">
        <v>2013</v>
      </c>
      <c r="I47" s="646" t="s">
        <v>582</v>
      </c>
      <c r="J47" s="646" t="s">
        <v>598</v>
      </c>
      <c r="K47" s="635"/>
      <c r="L47" s="698">
        <v>0</v>
      </c>
      <c r="M47" s="699">
        <v>0</v>
      </c>
      <c r="N47" s="699">
        <v>0.43419280900000001</v>
      </c>
      <c r="O47" s="699">
        <v>0.43419280900000001</v>
      </c>
      <c r="P47" s="699">
        <v>0.41852076500000002</v>
      </c>
      <c r="Q47" s="699">
        <v>0.35877615000000002</v>
      </c>
      <c r="R47" s="699">
        <v>0.35877615000000002</v>
      </c>
      <c r="S47" s="699">
        <v>0.35877615000000002</v>
      </c>
      <c r="T47" s="699">
        <v>0.35877615000000002</v>
      </c>
      <c r="U47" s="699">
        <v>0.35827412400000003</v>
      </c>
      <c r="V47" s="699">
        <v>0.26796829500000002</v>
      </c>
      <c r="W47" s="699">
        <v>0.26796829500000002</v>
      </c>
      <c r="X47" s="699">
        <v>0.21524979299999999</v>
      </c>
      <c r="Y47" s="699">
        <v>0.215243769</v>
      </c>
      <c r="Z47" s="699">
        <v>0.215243769</v>
      </c>
      <c r="AA47" s="699">
        <v>0.21492288200000001</v>
      </c>
      <c r="AB47" s="699">
        <v>0.21492288200000001</v>
      </c>
      <c r="AC47" s="699">
        <v>0.21466001400000001</v>
      </c>
      <c r="AD47" s="699">
        <v>0.20802674299999999</v>
      </c>
      <c r="AE47" s="699">
        <v>0.12210708300000001</v>
      </c>
      <c r="AF47" s="699">
        <v>0.12210708300000001</v>
      </c>
      <c r="AG47" s="699">
        <v>0.12210708300000001</v>
      </c>
      <c r="AH47" s="699">
        <v>0</v>
      </c>
      <c r="AI47" s="699">
        <v>0</v>
      </c>
      <c r="AJ47" s="699">
        <v>0</v>
      </c>
      <c r="AK47" s="699">
        <v>0</v>
      </c>
      <c r="AL47" s="699">
        <v>0</v>
      </c>
      <c r="AM47" s="699">
        <v>0</v>
      </c>
      <c r="AN47" s="699">
        <v>0</v>
      </c>
      <c r="AO47" s="700">
        <v>0</v>
      </c>
      <c r="AP47" s="635"/>
      <c r="AQ47" s="698">
        <v>0</v>
      </c>
      <c r="AR47" s="699">
        <v>0</v>
      </c>
      <c r="AS47" s="699">
        <v>6478.2511079129999</v>
      </c>
      <c r="AT47" s="699">
        <v>6478.2511079129999</v>
      </c>
      <c r="AU47" s="699">
        <v>6228.6060160019997</v>
      </c>
      <c r="AV47" s="699">
        <v>5276.914636947</v>
      </c>
      <c r="AW47" s="699">
        <v>5276.914636947</v>
      </c>
      <c r="AX47" s="699">
        <v>5276.914636947</v>
      </c>
      <c r="AY47" s="699">
        <v>5276.914636947</v>
      </c>
      <c r="AZ47" s="699">
        <v>5272.5168824390003</v>
      </c>
      <c r="BA47" s="699">
        <v>3834.0059888360001</v>
      </c>
      <c r="BB47" s="699">
        <v>3834.0059888360001</v>
      </c>
      <c r="BC47" s="699">
        <v>3486.0550897389999</v>
      </c>
      <c r="BD47" s="699">
        <v>3436.4121319589999</v>
      </c>
      <c r="BE47" s="699">
        <v>3436.4121319589999</v>
      </c>
      <c r="BF47" s="699">
        <v>3422.2855624680001</v>
      </c>
      <c r="BG47" s="699">
        <v>3422.2855624680001</v>
      </c>
      <c r="BH47" s="699">
        <v>3419.3891318000001</v>
      </c>
      <c r="BI47" s="699">
        <v>3313.725605434</v>
      </c>
      <c r="BJ47" s="699">
        <v>1945.0834066279999</v>
      </c>
      <c r="BK47" s="699">
        <v>1945.0834066279999</v>
      </c>
      <c r="BL47" s="699">
        <v>1945.0834066279999</v>
      </c>
      <c r="BM47" s="699">
        <v>0</v>
      </c>
      <c r="BN47" s="699">
        <v>0</v>
      </c>
      <c r="BO47" s="699">
        <v>0</v>
      </c>
      <c r="BP47" s="699">
        <v>0</v>
      </c>
      <c r="BQ47" s="699">
        <v>0</v>
      </c>
      <c r="BR47" s="699">
        <v>0</v>
      </c>
      <c r="BS47" s="699">
        <v>0</v>
      </c>
      <c r="BT47" s="700">
        <v>0</v>
      </c>
      <c r="BU47" s="16"/>
    </row>
    <row r="48" spans="2:73" s="17" customFormat="1" ht="15.5">
      <c r="B48" s="694" t="s">
        <v>209</v>
      </c>
      <c r="C48" s="694" t="s">
        <v>697</v>
      </c>
      <c r="D48" s="694" t="s">
        <v>2</v>
      </c>
      <c r="E48" s="694" t="s">
        <v>684</v>
      </c>
      <c r="F48" s="694" t="s">
        <v>29</v>
      </c>
      <c r="G48" s="694" t="s">
        <v>701</v>
      </c>
      <c r="H48" s="694">
        <v>2013</v>
      </c>
      <c r="I48" s="646" t="s">
        <v>582</v>
      </c>
      <c r="J48" s="646" t="s">
        <v>598</v>
      </c>
      <c r="K48" s="635"/>
      <c r="L48" s="698">
        <v>0</v>
      </c>
      <c r="M48" s="699">
        <v>0</v>
      </c>
      <c r="N48" s="699">
        <v>0.20719409899999999</v>
      </c>
      <c r="O48" s="699">
        <v>0.20719409899999999</v>
      </c>
      <c r="P48" s="699">
        <v>0.20719409899999999</v>
      </c>
      <c r="Q48" s="699">
        <v>0.20719409899999999</v>
      </c>
      <c r="R48" s="699">
        <v>0</v>
      </c>
      <c r="S48" s="699">
        <v>0</v>
      </c>
      <c r="T48" s="699">
        <v>0</v>
      </c>
      <c r="U48" s="699">
        <v>0</v>
      </c>
      <c r="V48" s="699">
        <v>0</v>
      </c>
      <c r="W48" s="699">
        <v>0</v>
      </c>
      <c r="X48" s="699">
        <v>0</v>
      </c>
      <c r="Y48" s="699">
        <v>0</v>
      </c>
      <c r="Z48" s="699">
        <v>0</v>
      </c>
      <c r="AA48" s="699">
        <v>0</v>
      </c>
      <c r="AB48" s="699">
        <v>0</v>
      </c>
      <c r="AC48" s="699">
        <v>0</v>
      </c>
      <c r="AD48" s="699">
        <v>0</v>
      </c>
      <c r="AE48" s="699">
        <v>0</v>
      </c>
      <c r="AF48" s="699">
        <v>0</v>
      </c>
      <c r="AG48" s="699">
        <v>0</v>
      </c>
      <c r="AH48" s="699">
        <v>0</v>
      </c>
      <c r="AI48" s="699">
        <v>0</v>
      </c>
      <c r="AJ48" s="699">
        <v>0</v>
      </c>
      <c r="AK48" s="699">
        <v>0</v>
      </c>
      <c r="AL48" s="699">
        <v>0</v>
      </c>
      <c r="AM48" s="699">
        <v>0</v>
      </c>
      <c r="AN48" s="699">
        <v>0</v>
      </c>
      <c r="AO48" s="700">
        <v>0</v>
      </c>
      <c r="AP48" s="635"/>
      <c r="AQ48" s="698">
        <v>0</v>
      </c>
      <c r="AR48" s="699">
        <v>0</v>
      </c>
      <c r="AS48" s="699">
        <v>369.43987800000002</v>
      </c>
      <c r="AT48" s="699">
        <v>369.43987800000002</v>
      </c>
      <c r="AU48" s="699">
        <v>369.43987800000002</v>
      </c>
      <c r="AV48" s="699">
        <v>369.43987800000002</v>
      </c>
      <c r="AW48" s="699">
        <v>0</v>
      </c>
      <c r="AX48" s="699">
        <v>0</v>
      </c>
      <c r="AY48" s="699">
        <v>0</v>
      </c>
      <c r="AZ48" s="699">
        <v>0</v>
      </c>
      <c r="BA48" s="699">
        <v>0</v>
      </c>
      <c r="BB48" s="699">
        <v>0</v>
      </c>
      <c r="BC48" s="699">
        <v>0</v>
      </c>
      <c r="BD48" s="699">
        <v>0</v>
      </c>
      <c r="BE48" s="699">
        <v>0</v>
      </c>
      <c r="BF48" s="699">
        <v>0</v>
      </c>
      <c r="BG48" s="699">
        <v>0</v>
      </c>
      <c r="BH48" s="699">
        <v>0</v>
      </c>
      <c r="BI48" s="699">
        <v>0</v>
      </c>
      <c r="BJ48" s="699">
        <v>0</v>
      </c>
      <c r="BK48" s="699">
        <v>0</v>
      </c>
      <c r="BL48" s="699">
        <v>0</v>
      </c>
      <c r="BM48" s="699">
        <v>0</v>
      </c>
      <c r="BN48" s="699">
        <v>0</v>
      </c>
      <c r="BO48" s="699">
        <v>0</v>
      </c>
      <c r="BP48" s="699">
        <v>0</v>
      </c>
      <c r="BQ48" s="699">
        <v>0</v>
      </c>
      <c r="BR48" s="699">
        <v>0</v>
      </c>
      <c r="BS48" s="699">
        <v>0</v>
      </c>
      <c r="BT48" s="700">
        <v>0</v>
      </c>
      <c r="BU48" s="16"/>
    </row>
    <row r="49" spans="2:73" s="17" customFormat="1" ht="15.5">
      <c r="B49" s="694" t="s">
        <v>209</v>
      </c>
      <c r="C49" s="694" t="s">
        <v>697</v>
      </c>
      <c r="D49" s="694" t="s">
        <v>1</v>
      </c>
      <c r="E49" s="694" t="s">
        <v>684</v>
      </c>
      <c r="F49" s="694" t="s">
        <v>29</v>
      </c>
      <c r="G49" s="694" t="s">
        <v>701</v>
      </c>
      <c r="H49" s="694">
        <v>2013</v>
      </c>
      <c r="I49" s="646" t="s">
        <v>582</v>
      </c>
      <c r="J49" s="646" t="s">
        <v>598</v>
      </c>
      <c r="K49" s="635"/>
      <c r="L49" s="698">
        <v>0</v>
      </c>
      <c r="M49" s="699">
        <v>0</v>
      </c>
      <c r="N49" s="699">
        <v>1.4032294639999998</v>
      </c>
      <c r="O49" s="699">
        <v>1.4032294639999998</v>
      </c>
      <c r="P49" s="699">
        <v>1.4032294639999998</v>
      </c>
      <c r="Q49" s="699">
        <v>1.4032294639999998</v>
      </c>
      <c r="R49" s="699">
        <v>0.91029387500000003</v>
      </c>
      <c r="S49" s="699">
        <v>0</v>
      </c>
      <c r="T49" s="699">
        <v>0</v>
      </c>
      <c r="U49" s="699">
        <v>0</v>
      </c>
      <c r="V49" s="699">
        <v>0</v>
      </c>
      <c r="W49" s="699">
        <v>0</v>
      </c>
      <c r="X49" s="699">
        <v>0</v>
      </c>
      <c r="Y49" s="699">
        <v>0</v>
      </c>
      <c r="Z49" s="699">
        <v>0</v>
      </c>
      <c r="AA49" s="699">
        <v>0</v>
      </c>
      <c r="AB49" s="699">
        <v>0</v>
      </c>
      <c r="AC49" s="699">
        <v>0</v>
      </c>
      <c r="AD49" s="699">
        <v>0</v>
      </c>
      <c r="AE49" s="699">
        <v>0</v>
      </c>
      <c r="AF49" s="699">
        <v>0</v>
      </c>
      <c r="AG49" s="699">
        <v>0</v>
      </c>
      <c r="AH49" s="699">
        <v>0</v>
      </c>
      <c r="AI49" s="699">
        <v>0</v>
      </c>
      <c r="AJ49" s="699">
        <v>0</v>
      </c>
      <c r="AK49" s="699">
        <v>0</v>
      </c>
      <c r="AL49" s="699">
        <v>0</v>
      </c>
      <c r="AM49" s="699">
        <v>0</v>
      </c>
      <c r="AN49" s="699">
        <v>0</v>
      </c>
      <c r="AO49" s="700">
        <v>0</v>
      </c>
      <c r="AP49" s="635"/>
      <c r="AQ49" s="698">
        <v>0</v>
      </c>
      <c r="AR49" s="699">
        <v>0</v>
      </c>
      <c r="AS49" s="699">
        <v>8852.7803914310007</v>
      </c>
      <c r="AT49" s="699">
        <v>8852.7803914310007</v>
      </c>
      <c r="AU49" s="699">
        <v>8852.7803914310007</v>
      </c>
      <c r="AV49" s="699">
        <v>8852.7803914310007</v>
      </c>
      <c r="AW49" s="699">
        <v>6193.7899231350002</v>
      </c>
      <c r="AX49" s="699">
        <v>0</v>
      </c>
      <c r="AY49" s="699">
        <v>0</v>
      </c>
      <c r="AZ49" s="699">
        <v>0</v>
      </c>
      <c r="BA49" s="699">
        <v>0</v>
      </c>
      <c r="BB49" s="699">
        <v>0</v>
      </c>
      <c r="BC49" s="699">
        <v>0</v>
      </c>
      <c r="BD49" s="699">
        <v>0</v>
      </c>
      <c r="BE49" s="699">
        <v>0</v>
      </c>
      <c r="BF49" s="699">
        <v>0</v>
      </c>
      <c r="BG49" s="699">
        <v>0</v>
      </c>
      <c r="BH49" s="699">
        <v>0</v>
      </c>
      <c r="BI49" s="699">
        <v>0</v>
      </c>
      <c r="BJ49" s="699">
        <v>0</v>
      </c>
      <c r="BK49" s="699">
        <v>0</v>
      </c>
      <c r="BL49" s="699">
        <v>0</v>
      </c>
      <c r="BM49" s="699">
        <v>0</v>
      </c>
      <c r="BN49" s="699">
        <v>0</v>
      </c>
      <c r="BO49" s="699">
        <v>0</v>
      </c>
      <c r="BP49" s="699">
        <v>0</v>
      </c>
      <c r="BQ49" s="699">
        <v>0</v>
      </c>
      <c r="BR49" s="699">
        <v>0</v>
      </c>
      <c r="BS49" s="699">
        <v>0</v>
      </c>
      <c r="BT49" s="700">
        <v>0</v>
      </c>
      <c r="BU49" s="16"/>
    </row>
    <row r="50" spans="2:73" s="17" customFormat="1" ht="15.5">
      <c r="B50" s="694" t="s">
        <v>209</v>
      </c>
      <c r="C50" s="694" t="s">
        <v>697</v>
      </c>
      <c r="D50" s="694" t="s">
        <v>1</v>
      </c>
      <c r="E50" s="694" t="s">
        <v>684</v>
      </c>
      <c r="F50" s="694" t="s">
        <v>29</v>
      </c>
      <c r="G50" s="694" t="s">
        <v>701</v>
      </c>
      <c r="H50" s="694">
        <v>2013</v>
      </c>
      <c r="I50" s="646" t="s">
        <v>582</v>
      </c>
      <c r="J50" s="646" t="s">
        <v>598</v>
      </c>
      <c r="K50" s="635"/>
      <c r="L50" s="698">
        <v>0</v>
      </c>
      <c r="M50" s="699">
        <v>0</v>
      </c>
      <c r="N50" s="699">
        <v>7.3449141085927302E-4</v>
      </c>
      <c r="O50" s="699">
        <v>7.3449141085927302E-4</v>
      </c>
      <c r="P50" s="699">
        <v>7.3449141085927302E-4</v>
      </c>
      <c r="Q50" s="699">
        <v>7.3449141085927302E-4</v>
      </c>
      <c r="R50" s="699">
        <v>4.0805667182613602E-4</v>
      </c>
      <c r="S50" s="699">
        <v>0</v>
      </c>
      <c r="T50" s="699">
        <v>0</v>
      </c>
      <c r="U50" s="699">
        <v>0</v>
      </c>
      <c r="V50" s="699">
        <v>0</v>
      </c>
      <c r="W50" s="699">
        <v>0</v>
      </c>
      <c r="X50" s="699">
        <v>0</v>
      </c>
      <c r="Y50" s="699">
        <v>0</v>
      </c>
      <c r="Z50" s="699">
        <v>0</v>
      </c>
      <c r="AA50" s="699">
        <v>0</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0</v>
      </c>
      <c r="AR50" s="699">
        <v>0</v>
      </c>
      <c r="AS50" s="699">
        <v>5.14005812061305</v>
      </c>
      <c r="AT50" s="699">
        <v>5.14005812061305</v>
      </c>
      <c r="AU50" s="699">
        <v>5.14005812061305</v>
      </c>
      <c r="AV50" s="699">
        <v>5.14005812061305</v>
      </c>
      <c r="AW50" s="699">
        <v>2.7764850118204123</v>
      </c>
      <c r="AX50" s="699">
        <v>0</v>
      </c>
      <c r="AY50" s="699">
        <v>0</v>
      </c>
      <c r="AZ50" s="699">
        <v>0</v>
      </c>
      <c r="BA50" s="699">
        <v>0</v>
      </c>
      <c r="BB50" s="699">
        <v>0</v>
      </c>
      <c r="BC50" s="699">
        <v>0</v>
      </c>
      <c r="BD50" s="699">
        <v>0</v>
      </c>
      <c r="BE50" s="699">
        <v>0</v>
      </c>
      <c r="BF50" s="699">
        <v>0</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5">
      <c r="B51" s="694" t="s">
        <v>209</v>
      </c>
      <c r="C51" s="694" t="s">
        <v>697</v>
      </c>
      <c r="D51" s="694" t="s">
        <v>706</v>
      </c>
      <c r="E51" s="694" t="s">
        <v>684</v>
      </c>
      <c r="F51" s="694" t="s">
        <v>29</v>
      </c>
      <c r="G51" s="694" t="s">
        <v>701</v>
      </c>
      <c r="H51" s="694">
        <v>2013</v>
      </c>
      <c r="I51" s="646" t="s">
        <v>582</v>
      </c>
      <c r="J51" s="646" t="s">
        <v>598</v>
      </c>
      <c r="K51" s="635"/>
      <c r="L51" s="698">
        <v>0</v>
      </c>
      <c r="M51" s="699">
        <v>0</v>
      </c>
      <c r="N51" s="699">
        <v>0.99487308099999994</v>
      </c>
      <c r="O51" s="699">
        <v>0.99487308099999994</v>
      </c>
      <c r="P51" s="699">
        <v>0.94025501700000003</v>
      </c>
      <c r="Q51" s="699">
        <v>0.75385742600000005</v>
      </c>
      <c r="R51" s="699">
        <v>0.75385742600000005</v>
      </c>
      <c r="S51" s="699">
        <v>0.75385742600000005</v>
      </c>
      <c r="T51" s="699">
        <v>0.75385742600000005</v>
      </c>
      <c r="U51" s="699">
        <v>0.75243137900000001</v>
      </c>
      <c r="V51" s="699">
        <v>0.64670740299999996</v>
      </c>
      <c r="W51" s="699">
        <v>0.64670740299999996</v>
      </c>
      <c r="X51" s="699">
        <v>0.46926954999999998</v>
      </c>
      <c r="Y51" s="699">
        <v>0.30311414599999997</v>
      </c>
      <c r="Z51" s="699">
        <v>0.30311414599999997</v>
      </c>
      <c r="AA51" s="699">
        <v>0.29714301199999998</v>
      </c>
      <c r="AB51" s="699">
        <v>0.29714301199999998</v>
      </c>
      <c r="AC51" s="699">
        <v>0.29407965699999999</v>
      </c>
      <c r="AD51" s="699">
        <v>0.25384015599999998</v>
      </c>
      <c r="AE51" s="699">
        <v>0.14899843900000001</v>
      </c>
      <c r="AF51" s="699">
        <v>0.14899843900000001</v>
      </c>
      <c r="AG51" s="699">
        <v>0.14899843900000001</v>
      </c>
      <c r="AH51" s="699">
        <v>0</v>
      </c>
      <c r="AI51" s="699">
        <v>0</v>
      </c>
      <c r="AJ51" s="699">
        <v>0</v>
      </c>
      <c r="AK51" s="699">
        <v>0</v>
      </c>
      <c r="AL51" s="699">
        <v>0</v>
      </c>
      <c r="AM51" s="699">
        <v>0</v>
      </c>
      <c r="AN51" s="699">
        <v>0</v>
      </c>
      <c r="AO51" s="700">
        <v>0</v>
      </c>
      <c r="AP51" s="635"/>
      <c r="AQ51" s="698">
        <v>0</v>
      </c>
      <c r="AR51" s="699">
        <v>0</v>
      </c>
      <c r="AS51" s="699">
        <v>14439.736668996</v>
      </c>
      <c r="AT51" s="699">
        <v>14439.736668996</v>
      </c>
      <c r="AU51" s="699">
        <v>13569.707766706</v>
      </c>
      <c r="AV51" s="699">
        <v>10600.519963184999</v>
      </c>
      <c r="AW51" s="699">
        <v>10600.519963184999</v>
      </c>
      <c r="AX51" s="699">
        <v>10600.519963184999</v>
      </c>
      <c r="AY51" s="699">
        <v>10600.519963184999</v>
      </c>
      <c r="AZ51" s="699">
        <v>10588.027790960001</v>
      </c>
      <c r="BA51" s="699">
        <v>8903.9162168179992</v>
      </c>
      <c r="BB51" s="699">
        <v>8903.9162168179992</v>
      </c>
      <c r="BC51" s="699">
        <v>7747.8434664850001</v>
      </c>
      <c r="BD51" s="699">
        <v>4981.1145497810003</v>
      </c>
      <c r="BE51" s="699">
        <v>4981.1145497810003</v>
      </c>
      <c r="BF51" s="699">
        <v>4718.2442718869997</v>
      </c>
      <c r="BG51" s="699">
        <v>4718.2442718869997</v>
      </c>
      <c r="BH51" s="699">
        <v>4684.4904425969999</v>
      </c>
      <c r="BI51" s="699">
        <v>4043.5023524029993</v>
      </c>
      <c r="BJ51" s="699">
        <v>2373.444564207</v>
      </c>
      <c r="BK51" s="699">
        <v>2373.444564207</v>
      </c>
      <c r="BL51" s="699">
        <v>2373.444564207</v>
      </c>
      <c r="BM51" s="699">
        <v>0</v>
      </c>
      <c r="BN51" s="699">
        <v>0</v>
      </c>
      <c r="BO51" s="699">
        <v>0</v>
      </c>
      <c r="BP51" s="699">
        <v>0</v>
      </c>
      <c r="BQ51" s="699">
        <v>0</v>
      </c>
      <c r="BR51" s="699">
        <v>0</v>
      </c>
      <c r="BS51" s="699">
        <v>0</v>
      </c>
      <c r="BT51" s="700">
        <v>0</v>
      </c>
      <c r="BU51" s="16"/>
    </row>
    <row r="52" spans="2:73" s="17" customFormat="1" ht="15.5">
      <c r="B52" s="694" t="s">
        <v>209</v>
      </c>
      <c r="C52" s="694" t="s">
        <v>697</v>
      </c>
      <c r="D52" s="694" t="s">
        <v>4</v>
      </c>
      <c r="E52" s="694" t="s">
        <v>684</v>
      </c>
      <c r="F52" s="694" t="s">
        <v>29</v>
      </c>
      <c r="G52" s="694" t="s">
        <v>701</v>
      </c>
      <c r="H52" s="694">
        <v>2013</v>
      </c>
      <c r="I52" s="646" t="s">
        <v>583</v>
      </c>
      <c r="J52" s="646" t="s">
        <v>598</v>
      </c>
      <c r="K52" s="635"/>
      <c r="L52" s="698">
        <v>0</v>
      </c>
      <c r="M52" s="699">
        <v>0</v>
      </c>
      <c r="N52" s="699">
        <v>1E-3</v>
      </c>
      <c r="O52" s="699">
        <v>1E-3</v>
      </c>
      <c r="P52" s="699">
        <v>1E-3</v>
      </c>
      <c r="Q52" s="699">
        <v>1E-3</v>
      </c>
      <c r="R52" s="699">
        <v>1E-3</v>
      </c>
      <c r="S52" s="699">
        <v>1E-3</v>
      </c>
      <c r="T52" s="699">
        <v>1E-3</v>
      </c>
      <c r="U52" s="699">
        <v>1E-3</v>
      </c>
      <c r="V52" s="699">
        <v>1E-3</v>
      </c>
      <c r="W52" s="699">
        <v>1E-3</v>
      </c>
      <c r="X52" s="699">
        <v>1E-3</v>
      </c>
      <c r="Y52" s="699">
        <v>1E-3</v>
      </c>
      <c r="Z52" s="699">
        <v>1E-3</v>
      </c>
      <c r="AA52" s="699">
        <v>1E-3</v>
      </c>
      <c r="AB52" s="699">
        <v>1E-3</v>
      </c>
      <c r="AC52" s="699">
        <v>1E-3</v>
      </c>
      <c r="AD52" s="699">
        <v>0</v>
      </c>
      <c r="AE52" s="699">
        <v>0</v>
      </c>
      <c r="AF52" s="699">
        <v>0</v>
      </c>
      <c r="AG52" s="699">
        <v>0</v>
      </c>
      <c r="AH52" s="699">
        <v>0</v>
      </c>
      <c r="AI52" s="699">
        <v>0</v>
      </c>
      <c r="AJ52" s="699">
        <v>0</v>
      </c>
      <c r="AK52" s="699">
        <v>0</v>
      </c>
      <c r="AL52" s="699">
        <v>0</v>
      </c>
      <c r="AM52" s="699">
        <v>0</v>
      </c>
      <c r="AN52" s="699">
        <v>0</v>
      </c>
      <c r="AO52" s="700">
        <v>0</v>
      </c>
      <c r="AP52" s="635"/>
      <c r="AQ52" s="698">
        <v>0</v>
      </c>
      <c r="AR52" s="699">
        <v>0</v>
      </c>
      <c r="AS52" s="699">
        <v>20</v>
      </c>
      <c r="AT52" s="699">
        <v>20</v>
      </c>
      <c r="AU52" s="699">
        <v>19</v>
      </c>
      <c r="AV52" s="699">
        <v>16</v>
      </c>
      <c r="AW52" s="699">
        <v>16</v>
      </c>
      <c r="AX52" s="699">
        <v>16</v>
      </c>
      <c r="AY52" s="699">
        <v>16</v>
      </c>
      <c r="AZ52" s="699">
        <v>16</v>
      </c>
      <c r="BA52" s="699">
        <v>14</v>
      </c>
      <c r="BB52" s="699">
        <v>14</v>
      </c>
      <c r="BC52" s="699">
        <v>13</v>
      </c>
      <c r="BD52" s="699">
        <v>13</v>
      </c>
      <c r="BE52" s="699">
        <v>13</v>
      </c>
      <c r="BF52" s="699">
        <v>13</v>
      </c>
      <c r="BG52" s="699">
        <v>13</v>
      </c>
      <c r="BH52" s="699">
        <v>13</v>
      </c>
      <c r="BI52" s="699">
        <v>7</v>
      </c>
      <c r="BJ52" s="699">
        <v>7</v>
      </c>
      <c r="BK52" s="699">
        <v>7</v>
      </c>
      <c r="BL52" s="699">
        <v>7</v>
      </c>
      <c r="BM52" s="699">
        <v>0</v>
      </c>
      <c r="BN52" s="699">
        <v>0</v>
      </c>
      <c r="BO52" s="699">
        <v>0</v>
      </c>
      <c r="BP52" s="699">
        <v>0</v>
      </c>
      <c r="BQ52" s="699">
        <v>0</v>
      </c>
      <c r="BR52" s="699">
        <v>0</v>
      </c>
      <c r="BS52" s="699">
        <v>0</v>
      </c>
      <c r="BT52" s="700">
        <v>0</v>
      </c>
      <c r="BU52" s="16"/>
    </row>
    <row r="53" spans="2:73">
      <c r="B53" s="694" t="s">
        <v>209</v>
      </c>
      <c r="C53" s="694" t="s">
        <v>697</v>
      </c>
      <c r="D53" s="694" t="s">
        <v>14</v>
      </c>
      <c r="E53" s="694" t="s">
        <v>684</v>
      </c>
      <c r="F53" s="694" t="s">
        <v>29</v>
      </c>
      <c r="G53" s="694" t="s">
        <v>701</v>
      </c>
      <c r="H53" s="694">
        <v>2013</v>
      </c>
      <c r="I53" s="646" t="s">
        <v>582</v>
      </c>
      <c r="J53" s="646" t="s">
        <v>598</v>
      </c>
      <c r="K53" s="635"/>
      <c r="L53" s="698">
        <v>0</v>
      </c>
      <c r="M53" s="699">
        <v>0</v>
      </c>
      <c r="N53" s="699">
        <v>9.1457985000000006E-2</v>
      </c>
      <c r="O53" s="699">
        <v>9.1457985000000006E-2</v>
      </c>
      <c r="P53" s="699">
        <v>9.1457985000000006E-2</v>
      </c>
      <c r="Q53" s="699">
        <v>8.4853762999999999E-2</v>
      </c>
      <c r="R53" s="699">
        <v>8.1551652000000002E-2</v>
      </c>
      <c r="S53" s="699">
        <v>7.8249540000000006E-2</v>
      </c>
      <c r="T53" s="699">
        <v>7.8249540000000006E-2</v>
      </c>
      <c r="U53" s="699">
        <v>7.8249540000000006E-2</v>
      </c>
      <c r="V53" s="699">
        <v>5.4940521999999999E-2</v>
      </c>
      <c r="W53" s="699">
        <v>5.4940521999999999E-2</v>
      </c>
      <c r="X53" s="699">
        <v>0</v>
      </c>
      <c r="Y53" s="699">
        <v>0</v>
      </c>
      <c r="Z53" s="699">
        <v>0</v>
      </c>
      <c r="AA53" s="699">
        <v>0</v>
      </c>
      <c r="AB53" s="699">
        <v>0</v>
      </c>
      <c r="AC53" s="699">
        <v>0</v>
      </c>
      <c r="AD53" s="699">
        <v>0</v>
      </c>
      <c r="AE53" s="699">
        <v>0</v>
      </c>
      <c r="AF53" s="699">
        <v>0</v>
      </c>
      <c r="AG53" s="699">
        <v>0</v>
      </c>
      <c r="AH53" s="699">
        <v>0</v>
      </c>
      <c r="AI53" s="699">
        <v>0</v>
      </c>
      <c r="AJ53" s="699">
        <v>0</v>
      </c>
      <c r="AK53" s="699">
        <v>0</v>
      </c>
      <c r="AL53" s="699">
        <v>0</v>
      </c>
      <c r="AM53" s="699">
        <v>0</v>
      </c>
      <c r="AN53" s="699">
        <v>0</v>
      </c>
      <c r="AO53" s="700">
        <v>0</v>
      </c>
      <c r="AP53" s="635"/>
      <c r="AQ53" s="698">
        <v>0</v>
      </c>
      <c r="AR53" s="699">
        <v>0</v>
      </c>
      <c r="AS53" s="699">
        <v>1156.0408935549999</v>
      </c>
      <c r="AT53" s="699">
        <v>1156.0408935549999</v>
      </c>
      <c r="AU53" s="699">
        <v>1156.0408935549999</v>
      </c>
      <c r="AV53" s="699">
        <v>1028.905273438</v>
      </c>
      <c r="AW53" s="699">
        <v>965.33746337900004</v>
      </c>
      <c r="AX53" s="699">
        <v>901.76968383799999</v>
      </c>
      <c r="AY53" s="699">
        <v>901.76968383799999</v>
      </c>
      <c r="AZ53" s="699">
        <v>901.76968383799999</v>
      </c>
      <c r="BA53" s="699">
        <v>453.05578613300003</v>
      </c>
      <c r="BB53" s="699">
        <v>453.05578613300003</v>
      </c>
      <c r="BC53" s="699">
        <v>0</v>
      </c>
      <c r="BD53" s="699">
        <v>0</v>
      </c>
      <c r="BE53" s="699">
        <v>0</v>
      </c>
      <c r="BF53" s="699">
        <v>0</v>
      </c>
      <c r="BG53" s="699">
        <v>0</v>
      </c>
      <c r="BH53" s="699">
        <v>0</v>
      </c>
      <c r="BI53" s="699">
        <v>0</v>
      </c>
      <c r="BJ53" s="699">
        <v>0</v>
      </c>
      <c r="BK53" s="699">
        <v>0</v>
      </c>
      <c r="BL53" s="699">
        <v>0</v>
      </c>
      <c r="BM53" s="699">
        <v>0</v>
      </c>
      <c r="BN53" s="699">
        <v>0</v>
      </c>
      <c r="BO53" s="699">
        <v>0</v>
      </c>
      <c r="BP53" s="699">
        <v>0</v>
      </c>
      <c r="BQ53" s="699">
        <v>0</v>
      </c>
      <c r="BR53" s="699">
        <v>0</v>
      </c>
      <c r="BS53" s="699">
        <v>0</v>
      </c>
      <c r="BT53" s="700">
        <v>0</v>
      </c>
    </row>
    <row r="54" spans="2:73">
      <c r="B54" s="694" t="s">
        <v>209</v>
      </c>
      <c r="C54" s="694" t="s">
        <v>708</v>
      </c>
      <c r="D54" s="694" t="s">
        <v>14</v>
      </c>
      <c r="E54" s="694" t="s">
        <v>684</v>
      </c>
      <c r="F54" s="694" t="s">
        <v>29</v>
      </c>
      <c r="G54" s="694" t="s">
        <v>701</v>
      </c>
      <c r="H54" s="694">
        <v>2013</v>
      </c>
      <c r="I54" s="646" t="s">
        <v>583</v>
      </c>
      <c r="J54" s="646" t="s">
        <v>591</v>
      </c>
      <c r="K54" s="635"/>
      <c r="L54" s="698">
        <v>0</v>
      </c>
      <c r="M54" s="699">
        <v>0</v>
      </c>
      <c r="N54" s="699">
        <v>3.5741162750000002</v>
      </c>
      <c r="O54" s="699">
        <v>3.4681465669999998</v>
      </c>
      <c r="P54" s="699">
        <v>3.4585129659999998</v>
      </c>
      <c r="Q54" s="699">
        <v>3.2854763</v>
      </c>
      <c r="R54" s="699">
        <v>3.2244272700000001</v>
      </c>
      <c r="S54" s="699">
        <v>3.1764433830000001</v>
      </c>
      <c r="T54" s="699">
        <v>3.1764433830000001</v>
      </c>
      <c r="U54" s="699">
        <v>3.1764433830000001</v>
      </c>
      <c r="V54" s="699">
        <v>2.5038643120000001</v>
      </c>
      <c r="W54" s="699">
        <v>2.5038643120000001</v>
      </c>
      <c r="X54" s="699">
        <v>1.1949999710000001</v>
      </c>
      <c r="Y54" s="699">
        <v>1.1949999710000001</v>
      </c>
      <c r="Z54" s="699">
        <v>1.1949999710000001</v>
      </c>
      <c r="AA54" s="699">
        <v>1.1949999710000001</v>
      </c>
      <c r="AB54" s="699">
        <v>0.53819999900000004</v>
      </c>
      <c r="AC54" s="699">
        <v>0</v>
      </c>
      <c r="AD54" s="699">
        <v>0</v>
      </c>
      <c r="AE54" s="699">
        <v>0</v>
      </c>
      <c r="AF54" s="699">
        <v>0</v>
      </c>
      <c r="AG54" s="699">
        <v>0</v>
      </c>
      <c r="AH54" s="699">
        <v>0</v>
      </c>
      <c r="AI54" s="699">
        <v>0</v>
      </c>
      <c r="AJ54" s="699">
        <v>0</v>
      </c>
      <c r="AK54" s="699">
        <v>0</v>
      </c>
      <c r="AL54" s="699">
        <v>0</v>
      </c>
      <c r="AM54" s="699">
        <v>0</v>
      </c>
      <c r="AN54" s="699">
        <v>0</v>
      </c>
      <c r="AO54" s="700">
        <v>0</v>
      </c>
      <c r="AP54" s="635"/>
      <c r="AQ54" s="698">
        <v>0</v>
      </c>
      <c r="AR54" s="699">
        <v>0</v>
      </c>
      <c r="AS54" s="699">
        <v>42864.087500000001</v>
      </c>
      <c r="AT54" s="699">
        <v>40800.466630000003</v>
      </c>
      <c r="AU54" s="699">
        <v>40612.865160000001</v>
      </c>
      <c r="AV54" s="699">
        <v>37272.66764</v>
      </c>
      <c r="AW54" s="699">
        <v>36099.211219999997</v>
      </c>
      <c r="AX54" s="699">
        <v>35179.52016</v>
      </c>
      <c r="AY54" s="699">
        <v>35179.52016</v>
      </c>
      <c r="AZ54" s="699">
        <v>35117.544540000003</v>
      </c>
      <c r="BA54" s="699">
        <v>22129.892210000002</v>
      </c>
      <c r="BB54" s="699">
        <v>22129.892210000002</v>
      </c>
      <c r="BC54" s="699">
        <v>9846</v>
      </c>
      <c r="BD54" s="699">
        <v>9846</v>
      </c>
      <c r="BE54" s="699">
        <v>9846</v>
      </c>
      <c r="BF54" s="699">
        <v>9846</v>
      </c>
      <c r="BG54" s="699">
        <v>4446</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209</v>
      </c>
      <c r="C55" s="694" t="s">
        <v>698</v>
      </c>
      <c r="D55" s="694" t="s">
        <v>704</v>
      </c>
      <c r="E55" s="694" t="s">
        <v>684</v>
      </c>
      <c r="F55" s="694" t="s">
        <v>700</v>
      </c>
      <c r="G55" s="694" t="s">
        <v>701</v>
      </c>
      <c r="H55" s="694">
        <v>2013</v>
      </c>
      <c r="I55" s="646" t="s">
        <v>582</v>
      </c>
      <c r="J55" s="646" t="s">
        <v>598</v>
      </c>
      <c r="K55" s="635"/>
      <c r="L55" s="698">
        <v>0</v>
      </c>
      <c r="M55" s="699">
        <v>0</v>
      </c>
      <c r="N55" s="699">
        <v>53.236464781999999</v>
      </c>
      <c r="O55" s="699">
        <v>53.236464781999999</v>
      </c>
      <c r="P55" s="699">
        <v>47.733893047000002</v>
      </c>
      <c r="Q55" s="699">
        <v>29.348672201999999</v>
      </c>
      <c r="R55" s="699">
        <v>9.7969856409999991</v>
      </c>
      <c r="S55" s="699">
        <v>9.7969856409999991</v>
      </c>
      <c r="T55" s="699">
        <v>9.7969856409999991</v>
      </c>
      <c r="U55" s="699">
        <v>9.7969856409999991</v>
      </c>
      <c r="V55" s="699">
        <v>9.7969856409999991</v>
      </c>
      <c r="W55" s="699">
        <v>9.7969856409999991</v>
      </c>
      <c r="X55" s="699">
        <v>9.6724379149999997</v>
      </c>
      <c r="Y55" s="699">
        <v>9.6724379149999997</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0</v>
      </c>
      <c r="AR55" s="699">
        <v>0</v>
      </c>
      <c r="AS55" s="699">
        <v>175236.79528030101</v>
      </c>
      <c r="AT55" s="699">
        <v>175236.79528030101</v>
      </c>
      <c r="AU55" s="699">
        <v>156112.18586451799</v>
      </c>
      <c r="AV55" s="699">
        <v>88654.122644992007</v>
      </c>
      <c r="AW55" s="699">
        <v>29646.143528727</v>
      </c>
      <c r="AX55" s="699">
        <v>29646.143528727</v>
      </c>
      <c r="AY55" s="699">
        <v>29646.143528727</v>
      </c>
      <c r="AZ55" s="699">
        <v>29646.143528727</v>
      </c>
      <c r="BA55" s="699">
        <v>29646.143528727</v>
      </c>
      <c r="BB55" s="699">
        <v>29646.143528727</v>
      </c>
      <c r="BC55" s="699">
        <v>28516.262139546001</v>
      </c>
      <c r="BD55" s="699">
        <v>28516.262139546001</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c r="B56" s="694" t="s">
        <v>209</v>
      </c>
      <c r="C56" s="694" t="s">
        <v>697</v>
      </c>
      <c r="D56" s="694" t="s">
        <v>2</v>
      </c>
      <c r="E56" s="694" t="s">
        <v>684</v>
      </c>
      <c r="F56" s="694" t="s">
        <v>29</v>
      </c>
      <c r="G56" s="694" t="s">
        <v>701</v>
      </c>
      <c r="H56" s="694">
        <v>2014</v>
      </c>
      <c r="I56" s="646" t="s">
        <v>583</v>
      </c>
      <c r="J56" s="646" t="s">
        <v>598</v>
      </c>
      <c r="K56" s="635"/>
      <c r="L56" s="698">
        <v>0</v>
      </c>
      <c r="M56" s="699">
        <v>0</v>
      </c>
      <c r="N56" s="699">
        <v>0</v>
      </c>
      <c r="O56" s="699">
        <v>2.0719409899999999E-4</v>
      </c>
      <c r="P56" s="699">
        <v>2.0719409899999999E-4</v>
      </c>
      <c r="Q56" s="699">
        <v>2.0719409899999999E-4</v>
      </c>
      <c r="R56" s="699">
        <v>2.0719409899999999E-4</v>
      </c>
      <c r="S56" s="699">
        <v>0</v>
      </c>
      <c r="T56" s="699">
        <v>0</v>
      </c>
      <c r="U56" s="699">
        <v>0</v>
      </c>
      <c r="V56" s="699">
        <v>0</v>
      </c>
      <c r="W56" s="699">
        <v>0</v>
      </c>
      <c r="X56" s="699">
        <v>0</v>
      </c>
      <c r="Y56" s="699">
        <v>0</v>
      </c>
      <c r="Z56" s="699">
        <v>0</v>
      </c>
      <c r="AA56" s="699">
        <v>0</v>
      </c>
      <c r="AB56" s="699">
        <v>0</v>
      </c>
      <c r="AC56" s="699">
        <v>0</v>
      </c>
      <c r="AD56" s="699">
        <v>0</v>
      </c>
      <c r="AE56" s="699">
        <v>0</v>
      </c>
      <c r="AF56" s="699">
        <v>0</v>
      </c>
      <c r="AG56" s="699">
        <v>0</v>
      </c>
      <c r="AH56" s="699">
        <v>0</v>
      </c>
      <c r="AI56" s="699">
        <v>0</v>
      </c>
      <c r="AJ56" s="699">
        <v>0</v>
      </c>
      <c r="AK56" s="699">
        <v>0</v>
      </c>
      <c r="AL56" s="699">
        <v>0</v>
      </c>
      <c r="AM56" s="699">
        <v>0</v>
      </c>
      <c r="AN56" s="699">
        <v>0</v>
      </c>
      <c r="AO56" s="700">
        <v>0</v>
      </c>
      <c r="AP56" s="635"/>
      <c r="AQ56" s="698">
        <v>0</v>
      </c>
      <c r="AR56" s="699">
        <v>0</v>
      </c>
      <c r="AS56" s="699">
        <v>0</v>
      </c>
      <c r="AT56" s="699">
        <v>0.369439878</v>
      </c>
      <c r="AU56" s="699">
        <v>0.369439878</v>
      </c>
      <c r="AV56" s="699">
        <v>0.369439878</v>
      </c>
      <c r="AW56" s="699">
        <v>0.369439878</v>
      </c>
      <c r="AX56" s="699">
        <v>0</v>
      </c>
      <c r="AY56" s="699">
        <v>0</v>
      </c>
      <c r="AZ56" s="699">
        <v>0</v>
      </c>
      <c r="BA56" s="699">
        <v>0</v>
      </c>
      <c r="BB56" s="699">
        <v>0</v>
      </c>
      <c r="BC56" s="699">
        <v>0</v>
      </c>
      <c r="BD56" s="699">
        <v>0</v>
      </c>
      <c r="BE56" s="699">
        <v>0</v>
      </c>
      <c r="BF56" s="699">
        <v>0</v>
      </c>
      <c r="BG56" s="699">
        <v>0</v>
      </c>
      <c r="BH56" s="699">
        <v>0</v>
      </c>
      <c r="BI56" s="699">
        <v>0</v>
      </c>
      <c r="BJ56" s="699">
        <v>0</v>
      </c>
      <c r="BK56" s="699">
        <v>0</v>
      </c>
      <c r="BL56" s="699">
        <v>0</v>
      </c>
      <c r="BM56" s="699">
        <v>0</v>
      </c>
      <c r="BN56" s="699">
        <v>0</v>
      </c>
      <c r="BO56" s="699">
        <v>0</v>
      </c>
      <c r="BP56" s="699">
        <v>0</v>
      </c>
      <c r="BQ56" s="699">
        <v>0</v>
      </c>
      <c r="BR56" s="699">
        <v>0</v>
      </c>
      <c r="BS56" s="699">
        <v>0</v>
      </c>
      <c r="BT56" s="700">
        <v>0</v>
      </c>
    </row>
    <row r="57" spans="2:73">
      <c r="B57" s="694" t="s">
        <v>209</v>
      </c>
      <c r="C57" s="694" t="s">
        <v>697</v>
      </c>
      <c r="D57" s="694" t="s">
        <v>1</v>
      </c>
      <c r="E57" s="694" t="s">
        <v>684</v>
      </c>
      <c r="F57" s="694" t="s">
        <v>29</v>
      </c>
      <c r="G57" s="694" t="s">
        <v>701</v>
      </c>
      <c r="H57" s="694">
        <v>2014</v>
      </c>
      <c r="I57" s="646" t="s">
        <v>583</v>
      </c>
      <c r="J57" s="646" t="s">
        <v>598</v>
      </c>
      <c r="K57" s="635"/>
      <c r="L57" s="698">
        <v>0</v>
      </c>
      <c r="M57" s="699">
        <v>0</v>
      </c>
      <c r="N57" s="699">
        <v>0</v>
      </c>
      <c r="O57" s="699">
        <v>0.11675429700000001</v>
      </c>
      <c r="P57" s="699">
        <v>0.11675429700000001</v>
      </c>
      <c r="Q57" s="699">
        <v>0.11675429700000001</v>
      </c>
      <c r="R57" s="699">
        <v>0</v>
      </c>
      <c r="S57" s="699">
        <v>0</v>
      </c>
      <c r="T57" s="699">
        <v>0</v>
      </c>
      <c r="U57" s="699">
        <v>0</v>
      </c>
      <c r="V57" s="699">
        <v>0</v>
      </c>
      <c r="W57" s="699">
        <v>0</v>
      </c>
      <c r="X57" s="699">
        <v>0</v>
      </c>
      <c r="Y57" s="699">
        <v>0</v>
      </c>
      <c r="Z57" s="699">
        <v>0</v>
      </c>
      <c r="AA57" s="699">
        <v>0</v>
      </c>
      <c r="AB57" s="699">
        <v>0</v>
      </c>
      <c r="AC57" s="699">
        <v>0</v>
      </c>
      <c r="AD57" s="699">
        <v>0</v>
      </c>
      <c r="AE57" s="699">
        <v>0</v>
      </c>
      <c r="AF57" s="699">
        <v>0</v>
      </c>
      <c r="AG57" s="699">
        <v>0</v>
      </c>
      <c r="AH57" s="699">
        <v>0</v>
      </c>
      <c r="AI57" s="699">
        <v>0</v>
      </c>
      <c r="AJ57" s="699">
        <v>0</v>
      </c>
      <c r="AK57" s="699">
        <v>0</v>
      </c>
      <c r="AL57" s="699">
        <v>0</v>
      </c>
      <c r="AM57" s="699">
        <v>0</v>
      </c>
      <c r="AN57" s="699">
        <v>0</v>
      </c>
      <c r="AO57" s="700">
        <v>0</v>
      </c>
      <c r="AP57" s="635"/>
      <c r="AQ57" s="698">
        <v>0</v>
      </c>
      <c r="AR57" s="699">
        <v>0</v>
      </c>
      <c r="AS57" s="699">
        <v>0</v>
      </c>
      <c r="AT57" s="699">
        <v>104.40804660000001</v>
      </c>
      <c r="AU57" s="699">
        <v>104.40804660000001</v>
      </c>
      <c r="AV57" s="699">
        <v>104.40804660000001</v>
      </c>
      <c r="AW57" s="699">
        <v>0</v>
      </c>
      <c r="AX57" s="699">
        <v>0</v>
      </c>
      <c r="AY57" s="699">
        <v>0</v>
      </c>
      <c r="AZ57" s="699">
        <v>0</v>
      </c>
      <c r="BA57" s="699">
        <v>0</v>
      </c>
      <c r="BB57" s="699">
        <v>0</v>
      </c>
      <c r="BC57" s="699">
        <v>0</v>
      </c>
      <c r="BD57" s="699">
        <v>0</v>
      </c>
      <c r="BE57" s="699">
        <v>0</v>
      </c>
      <c r="BF57" s="699">
        <v>0</v>
      </c>
      <c r="BG57" s="699">
        <v>0</v>
      </c>
      <c r="BH57" s="699">
        <v>0</v>
      </c>
      <c r="BI57" s="699">
        <v>0</v>
      </c>
      <c r="BJ57" s="699">
        <v>0</v>
      </c>
      <c r="BK57" s="699">
        <v>0</v>
      </c>
      <c r="BL57" s="699">
        <v>0</v>
      </c>
      <c r="BM57" s="699">
        <v>0</v>
      </c>
      <c r="BN57" s="699">
        <v>0</v>
      </c>
      <c r="BO57" s="699">
        <v>0</v>
      </c>
      <c r="BP57" s="699">
        <v>0</v>
      </c>
      <c r="BQ57" s="699">
        <v>0</v>
      </c>
      <c r="BR57" s="699">
        <v>0</v>
      </c>
      <c r="BS57" s="699">
        <v>0</v>
      </c>
      <c r="BT57" s="700">
        <v>0</v>
      </c>
    </row>
    <row r="58" spans="2:73">
      <c r="B58" s="694" t="s">
        <v>209</v>
      </c>
      <c r="C58" s="694" t="s">
        <v>697</v>
      </c>
      <c r="D58" s="694" t="s">
        <v>1</v>
      </c>
      <c r="E58" s="694" t="s">
        <v>684</v>
      </c>
      <c r="F58" s="694" t="s">
        <v>29</v>
      </c>
      <c r="G58" s="694" t="s">
        <v>701</v>
      </c>
      <c r="H58" s="694">
        <v>2014</v>
      </c>
      <c r="I58" s="646" t="s">
        <v>583</v>
      </c>
      <c r="J58" s="646" t="s">
        <v>598</v>
      </c>
      <c r="K58" s="635"/>
      <c r="L58" s="698">
        <v>0</v>
      </c>
      <c r="M58" s="699">
        <v>0</v>
      </c>
      <c r="N58" s="699">
        <v>0</v>
      </c>
      <c r="O58" s="699">
        <v>0</v>
      </c>
      <c r="P58" s="699">
        <v>0</v>
      </c>
      <c r="Q58" s="699">
        <v>0</v>
      </c>
      <c r="R58" s="699">
        <v>0</v>
      </c>
      <c r="S58" s="699">
        <v>0</v>
      </c>
      <c r="T58" s="699">
        <v>0</v>
      </c>
      <c r="U58" s="699">
        <v>0</v>
      </c>
      <c r="V58" s="699">
        <v>0</v>
      </c>
      <c r="W58" s="699">
        <v>0</v>
      </c>
      <c r="X58" s="699">
        <v>0</v>
      </c>
      <c r="Y58" s="699">
        <v>0</v>
      </c>
      <c r="Z58" s="699">
        <v>0</v>
      </c>
      <c r="AA58" s="699">
        <v>0</v>
      </c>
      <c r="AB58" s="699">
        <v>0</v>
      </c>
      <c r="AC58" s="699">
        <v>0</v>
      </c>
      <c r="AD58" s="699">
        <v>0</v>
      </c>
      <c r="AE58" s="699">
        <v>0</v>
      </c>
      <c r="AF58" s="699">
        <v>0</v>
      </c>
      <c r="AG58" s="699">
        <v>0</v>
      </c>
      <c r="AH58" s="699">
        <v>0</v>
      </c>
      <c r="AI58" s="699">
        <v>0</v>
      </c>
      <c r="AJ58" s="699">
        <v>0</v>
      </c>
      <c r="AK58" s="699">
        <v>0</v>
      </c>
      <c r="AL58" s="699">
        <v>0</v>
      </c>
      <c r="AM58" s="699">
        <v>0</v>
      </c>
      <c r="AN58" s="699">
        <v>0</v>
      </c>
      <c r="AO58" s="700">
        <v>0</v>
      </c>
      <c r="AP58" s="635"/>
      <c r="AQ58" s="698">
        <v>0</v>
      </c>
      <c r="AR58" s="699">
        <v>0</v>
      </c>
      <c r="AS58" s="699">
        <v>0</v>
      </c>
      <c r="AT58" s="699">
        <v>0</v>
      </c>
      <c r="AU58" s="699">
        <v>0</v>
      </c>
      <c r="AV58" s="699">
        <v>0</v>
      </c>
      <c r="AW58" s="699">
        <v>0</v>
      </c>
      <c r="AX58" s="699">
        <v>0</v>
      </c>
      <c r="AY58" s="699">
        <v>0</v>
      </c>
      <c r="AZ58" s="699">
        <v>0</v>
      </c>
      <c r="BA58" s="699">
        <v>0</v>
      </c>
      <c r="BB58" s="699">
        <v>0</v>
      </c>
      <c r="BC58" s="699">
        <v>0</v>
      </c>
      <c r="BD58" s="699">
        <v>0</v>
      </c>
      <c r="BE58" s="699">
        <v>0</v>
      </c>
      <c r="BF58" s="699">
        <v>0</v>
      </c>
      <c r="BG58" s="699">
        <v>0</v>
      </c>
      <c r="BH58" s="699">
        <v>0</v>
      </c>
      <c r="BI58" s="699">
        <v>0</v>
      </c>
      <c r="BJ58" s="699">
        <v>0</v>
      </c>
      <c r="BK58" s="699">
        <v>0</v>
      </c>
      <c r="BL58" s="699">
        <v>0</v>
      </c>
      <c r="BM58" s="699">
        <v>0</v>
      </c>
      <c r="BN58" s="699">
        <v>0</v>
      </c>
      <c r="BO58" s="699">
        <v>0</v>
      </c>
      <c r="BP58" s="699">
        <v>0</v>
      </c>
      <c r="BQ58" s="699">
        <v>0</v>
      </c>
      <c r="BR58" s="699">
        <v>0</v>
      </c>
      <c r="BS58" s="699">
        <v>0</v>
      </c>
      <c r="BT58" s="700">
        <v>0</v>
      </c>
    </row>
    <row r="59" spans="2:73">
      <c r="B59" s="694" t="s">
        <v>209</v>
      </c>
      <c r="C59" s="694" t="s">
        <v>697</v>
      </c>
      <c r="D59" s="694" t="s">
        <v>1</v>
      </c>
      <c r="E59" s="694" t="s">
        <v>684</v>
      </c>
      <c r="F59" s="694" t="s">
        <v>29</v>
      </c>
      <c r="G59" s="694" t="s">
        <v>701</v>
      </c>
      <c r="H59" s="694">
        <v>2014</v>
      </c>
      <c r="I59" s="646" t="s">
        <v>583</v>
      </c>
      <c r="J59" s="646" t="s">
        <v>598</v>
      </c>
      <c r="K59" s="635"/>
      <c r="L59" s="698">
        <v>0</v>
      </c>
      <c r="M59" s="699">
        <v>0</v>
      </c>
      <c r="N59" s="699">
        <v>0</v>
      </c>
      <c r="O59" s="699">
        <v>0.975157276134761</v>
      </c>
      <c r="P59" s="699">
        <v>0.975157276134761</v>
      </c>
      <c r="Q59" s="699">
        <v>0.975157276134761</v>
      </c>
      <c r="R59" s="699">
        <v>0.975157276134761</v>
      </c>
      <c r="S59" s="699">
        <v>0</v>
      </c>
      <c r="T59" s="699">
        <v>0</v>
      </c>
      <c r="U59" s="699">
        <v>0</v>
      </c>
      <c r="V59" s="699">
        <v>0</v>
      </c>
      <c r="W59" s="699">
        <v>0</v>
      </c>
      <c r="X59" s="699">
        <v>0</v>
      </c>
      <c r="Y59" s="699">
        <v>0</v>
      </c>
      <c r="Z59" s="699">
        <v>0</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0</v>
      </c>
      <c r="AR59" s="699">
        <v>0</v>
      </c>
      <c r="AS59" s="699">
        <v>0</v>
      </c>
      <c r="AT59" s="699">
        <v>7060.6931183667984</v>
      </c>
      <c r="AU59" s="699">
        <v>7060.6931183667984</v>
      </c>
      <c r="AV59" s="699">
        <v>7060.6931183667984</v>
      </c>
      <c r="AW59" s="699">
        <v>7060.6931183667984</v>
      </c>
      <c r="AX59" s="699">
        <v>0</v>
      </c>
      <c r="AY59" s="699">
        <v>0</v>
      </c>
      <c r="AZ59" s="699">
        <v>0</v>
      </c>
      <c r="BA59" s="699">
        <v>0</v>
      </c>
      <c r="BB59" s="699">
        <v>0</v>
      </c>
      <c r="BC59" s="699">
        <v>0</v>
      </c>
      <c r="BD59" s="699">
        <v>0</v>
      </c>
      <c r="BE59" s="699">
        <v>0</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5">
      <c r="B60" s="694" t="s">
        <v>209</v>
      </c>
      <c r="C60" s="694" t="s">
        <v>697</v>
      </c>
      <c r="D60" s="694" t="s">
        <v>1</v>
      </c>
      <c r="E60" s="694" t="s">
        <v>684</v>
      </c>
      <c r="F60" s="694" t="s">
        <v>29</v>
      </c>
      <c r="G60" s="694" t="s">
        <v>701</v>
      </c>
      <c r="H60" s="694">
        <v>2014</v>
      </c>
      <c r="I60" s="646" t="s">
        <v>583</v>
      </c>
      <c r="J60" s="646" t="s">
        <v>598</v>
      </c>
      <c r="K60" s="635"/>
      <c r="L60" s="698">
        <v>0</v>
      </c>
      <c r="M60" s="699">
        <v>0</v>
      </c>
      <c r="N60" s="699">
        <v>0</v>
      </c>
      <c r="O60" s="699">
        <v>1.5602843347195228</v>
      </c>
      <c r="P60" s="699">
        <v>1.5602843347195228</v>
      </c>
      <c r="Q60" s="699">
        <v>1.5602843347195228</v>
      </c>
      <c r="R60" s="699">
        <v>1.5602843347195228</v>
      </c>
      <c r="S60" s="699">
        <v>1.5602843347195228</v>
      </c>
      <c r="T60" s="699">
        <v>0</v>
      </c>
      <c r="U60" s="699">
        <v>0</v>
      </c>
      <c r="V60" s="699">
        <v>0</v>
      </c>
      <c r="W60" s="699">
        <v>0</v>
      </c>
      <c r="X60" s="699">
        <v>0</v>
      </c>
      <c r="Y60" s="699">
        <v>0</v>
      </c>
      <c r="Z60" s="699">
        <v>0</v>
      </c>
      <c r="AA60" s="699">
        <v>0</v>
      </c>
      <c r="AB60" s="699">
        <v>0</v>
      </c>
      <c r="AC60" s="699">
        <v>0</v>
      </c>
      <c r="AD60" s="699">
        <v>0</v>
      </c>
      <c r="AE60" s="699">
        <v>0</v>
      </c>
      <c r="AF60" s="699">
        <v>0</v>
      </c>
      <c r="AG60" s="699">
        <v>0</v>
      </c>
      <c r="AH60" s="699">
        <v>0</v>
      </c>
      <c r="AI60" s="699">
        <v>0</v>
      </c>
      <c r="AJ60" s="699">
        <v>0</v>
      </c>
      <c r="AK60" s="699">
        <v>0</v>
      </c>
      <c r="AL60" s="699">
        <v>0</v>
      </c>
      <c r="AM60" s="699">
        <v>0</v>
      </c>
      <c r="AN60" s="699">
        <v>0</v>
      </c>
      <c r="AO60" s="700">
        <v>0</v>
      </c>
      <c r="AP60" s="635"/>
      <c r="AQ60" s="698">
        <v>0</v>
      </c>
      <c r="AR60" s="699">
        <v>0</v>
      </c>
      <c r="AS60" s="699">
        <v>0</v>
      </c>
      <c r="AT60" s="699">
        <v>10616.768154433814</v>
      </c>
      <c r="AU60" s="699">
        <v>10616.768154433814</v>
      </c>
      <c r="AV60" s="699">
        <v>10616.768154433814</v>
      </c>
      <c r="AW60" s="699">
        <v>10616.768154433814</v>
      </c>
      <c r="AX60" s="699">
        <v>10616.768154433814</v>
      </c>
      <c r="AY60" s="699">
        <v>0</v>
      </c>
      <c r="AZ60" s="699">
        <v>0</v>
      </c>
      <c r="BA60" s="699">
        <v>0</v>
      </c>
      <c r="BB60" s="699">
        <v>0</v>
      </c>
      <c r="BC60" s="699">
        <v>0</v>
      </c>
      <c r="BD60" s="699">
        <v>0</v>
      </c>
      <c r="BE60" s="699">
        <v>0</v>
      </c>
      <c r="BF60" s="699">
        <v>0</v>
      </c>
      <c r="BG60" s="699">
        <v>0</v>
      </c>
      <c r="BH60" s="699">
        <v>0</v>
      </c>
      <c r="BI60" s="699">
        <v>0</v>
      </c>
      <c r="BJ60" s="699">
        <v>0</v>
      </c>
      <c r="BK60" s="699">
        <v>0</v>
      </c>
      <c r="BL60" s="699">
        <v>0</v>
      </c>
      <c r="BM60" s="699">
        <v>0</v>
      </c>
      <c r="BN60" s="699">
        <v>0</v>
      </c>
      <c r="BO60" s="699">
        <v>0</v>
      </c>
      <c r="BP60" s="699">
        <v>0</v>
      </c>
      <c r="BQ60" s="699">
        <v>0</v>
      </c>
      <c r="BR60" s="699">
        <v>0</v>
      </c>
      <c r="BS60" s="699">
        <v>0</v>
      </c>
      <c r="BT60" s="700">
        <v>0</v>
      </c>
      <c r="BU60" s="165"/>
    </row>
    <row r="61" spans="2:73">
      <c r="B61" s="694" t="s">
        <v>209</v>
      </c>
      <c r="C61" s="694" t="s">
        <v>697</v>
      </c>
      <c r="D61" s="694" t="s">
        <v>5</v>
      </c>
      <c r="E61" s="694" t="s">
        <v>684</v>
      </c>
      <c r="F61" s="694" t="s">
        <v>29</v>
      </c>
      <c r="G61" s="694" t="s">
        <v>701</v>
      </c>
      <c r="H61" s="694">
        <v>2014</v>
      </c>
      <c r="I61" s="646" t="s">
        <v>583</v>
      </c>
      <c r="J61" s="646" t="s">
        <v>598</v>
      </c>
      <c r="K61" s="635"/>
      <c r="L61" s="698">
        <v>0</v>
      </c>
      <c r="M61" s="699">
        <v>0</v>
      </c>
      <c r="N61" s="699">
        <v>0</v>
      </c>
      <c r="O61" s="699">
        <v>6.7605220050000003</v>
      </c>
      <c r="P61" s="699">
        <v>5.9012019860000002</v>
      </c>
      <c r="Q61" s="699">
        <v>5.4533719730000003</v>
      </c>
      <c r="R61" s="699">
        <v>5.4533719730000003</v>
      </c>
      <c r="S61" s="699">
        <v>5.4533719730000003</v>
      </c>
      <c r="T61" s="699">
        <v>5.4533719730000003</v>
      </c>
      <c r="U61" s="699">
        <v>5.4533719730000003</v>
      </c>
      <c r="V61" s="699">
        <v>5.4492933929999996</v>
      </c>
      <c r="W61" s="699">
        <v>5.4492933929999996</v>
      </c>
      <c r="X61" s="699">
        <v>5.0872942380000001</v>
      </c>
      <c r="Y61" s="699">
        <v>4.6297501749999999</v>
      </c>
      <c r="Z61" s="699">
        <v>3.9218252769999995</v>
      </c>
      <c r="AA61" s="699">
        <v>3.9218252769999995</v>
      </c>
      <c r="AB61" s="699">
        <v>3.9029535360000001</v>
      </c>
      <c r="AC61" s="699">
        <v>3.9029535360000001</v>
      </c>
      <c r="AD61" s="699">
        <v>3.894981483</v>
      </c>
      <c r="AE61" s="699">
        <v>3.166364052</v>
      </c>
      <c r="AF61" s="699">
        <v>3.166364052</v>
      </c>
      <c r="AG61" s="699">
        <v>3.166364052</v>
      </c>
      <c r="AH61" s="699">
        <v>3.166364052</v>
      </c>
      <c r="AI61" s="699">
        <v>0</v>
      </c>
      <c r="AJ61" s="699">
        <v>0</v>
      </c>
      <c r="AK61" s="699">
        <v>0</v>
      </c>
      <c r="AL61" s="699">
        <v>0</v>
      </c>
      <c r="AM61" s="699">
        <v>0</v>
      </c>
      <c r="AN61" s="699">
        <v>0</v>
      </c>
      <c r="AO61" s="700">
        <v>0</v>
      </c>
      <c r="AP61" s="635"/>
      <c r="AQ61" s="698">
        <v>0</v>
      </c>
      <c r="AR61" s="699">
        <v>0</v>
      </c>
      <c r="AS61" s="699">
        <v>0</v>
      </c>
      <c r="AT61" s="699">
        <v>103300.35219999999</v>
      </c>
      <c r="AU61" s="699">
        <v>89611.964340000006</v>
      </c>
      <c r="AV61" s="699">
        <v>82478.334510000001</v>
      </c>
      <c r="AW61" s="699">
        <v>82478.334510000001</v>
      </c>
      <c r="AX61" s="699">
        <v>82478.334510000001</v>
      </c>
      <c r="AY61" s="699">
        <v>82478.334510000001</v>
      </c>
      <c r="AZ61" s="699">
        <v>82478.334510000001</v>
      </c>
      <c r="BA61" s="699">
        <v>82442.606140000004</v>
      </c>
      <c r="BB61" s="699">
        <v>82442.606140000004</v>
      </c>
      <c r="BC61" s="699">
        <v>76676.203949999996</v>
      </c>
      <c r="BD61" s="699">
        <v>74543.871939999997</v>
      </c>
      <c r="BE61" s="699">
        <v>63034.92136</v>
      </c>
      <c r="BF61" s="699">
        <v>63034.92136</v>
      </c>
      <c r="BG61" s="699">
        <v>62132.266710000004</v>
      </c>
      <c r="BH61" s="699">
        <v>62132.266710000004</v>
      </c>
      <c r="BI61" s="699">
        <v>62044.425969999997</v>
      </c>
      <c r="BJ61" s="699">
        <v>50438.042099999999</v>
      </c>
      <c r="BK61" s="699">
        <v>50438.042099999999</v>
      </c>
      <c r="BL61" s="699">
        <v>50438.042099999999</v>
      </c>
      <c r="BM61" s="699">
        <v>50438.042099999999</v>
      </c>
      <c r="BN61" s="699">
        <v>0</v>
      </c>
      <c r="BO61" s="699">
        <v>0</v>
      </c>
      <c r="BP61" s="699">
        <v>0</v>
      </c>
      <c r="BQ61" s="699">
        <v>0</v>
      </c>
      <c r="BR61" s="699">
        <v>0</v>
      </c>
      <c r="BS61" s="699">
        <v>0</v>
      </c>
      <c r="BT61" s="700">
        <v>0</v>
      </c>
    </row>
    <row r="62" spans="2:73">
      <c r="B62" s="694" t="s">
        <v>209</v>
      </c>
      <c r="C62" s="694" t="s">
        <v>697</v>
      </c>
      <c r="D62" s="694" t="s">
        <v>4</v>
      </c>
      <c r="E62" s="694" t="s">
        <v>684</v>
      </c>
      <c r="F62" s="694" t="s">
        <v>29</v>
      </c>
      <c r="G62" s="694" t="s">
        <v>701</v>
      </c>
      <c r="H62" s="694">
        <v>2014</v>
      </c>
      <c r="I62" s="646" t="s">
        <v>583</v>
      </c>
      <c r="J62" s="646" t="s">
        <v>598</v>
      </c>
      <c r="K62" s="635"/>
      <c r="L62" s="698">
        <v>0</v>
      </c>
      <c r="M62" s="699">
        <v>0</v>
      </c>
      <c r="N62" s="699">
        <v>0</v>
      </c>
      <c r="O62" s="699">
        <v>1.7705884730000001</v>
      </c>
      <c r="P62" s="699">
        <v>1.6683144809999999</v>
      </c>
      <c r="Q62" s="699">
        <v>1.6189186820000001</v>
      </c>
      <c r="R62" s="699">
        <v>1.6189186820000001</v>
      </c>
      <c r="S62" s="699">
        <v>1.6189186820000001</v>
      </c>
      <c r="T62" s="699">
        <v>1.6189186820000001</v>
      </c>
      <c r="U62" s="699">
        <v>1.6189186820000001</v>
      </c>
      <c r="V62" s="699">
        <v>1.6142028239999999</v>
      </c>
      <c r="W62" s="699">
        <v>1.6142028239999999</v>
      </c>
      <c r="X62" s="699">
        <v>1.421955809</v>
      </c>
      <c r="Y62" s="699">
        <v>1.036152218</v>
      </c>
      <c r="Z62" s="699">
        <v>1.036126681</v>
      </c>
      <c r="AA62" s="699">
        <v>1.036126681</v>
      </c>
      <c r="AB62" s="699">
        <v>1.0340785480000001</v>
      </c>
      <c r="AC62" s="699">
        <v>1.0340785480000001</v>
      </c>
      <c r="AD62" s="699">
        <v>1.032294163</v>
      </c>
      <c r="AE62" s="699">
        <v>0.46518151400000002</v>
      </c>
      <c r="AF62" s="699">
        <v>0.46518151400000002</v>
      </c>
      <c r="AG62" s="699">
        <v>0.46518151400000002</v>
      </c>
      <c r="AH62" s="699">
        <v>0.46518151400000002</v>
      </c>
      <c r="AI62" s="699">
        <v>0</v>
      </c>
      <c r="AJ62" s="699">
        <v>0</v>
      </c>
      <c r="AK62" s="699">
        <v>0</v>
      </c>
      <c r="AL62" s="699">
        <v>0</v>
      </c>
      <c r="AM62" s="699">
        <v>0</v>
      </c>
      <c r="AN62" s="699">
        <v>0</v>
      </c>
      <c r="AO62" s="700">
        <v>0</v>
      </c>
      <c r="AP62" s="635"/>
      <c r="AQ62" s="698">
        <v>0</v>
      </c>
      <c r="AR62" s="699">
        <v>0</v>
      </c>
      <c r="AS62" s="699">
        <v>0</v>
      </c>
      <c r="AT62" s="699">
        <v>23666.12501</v>
      </c>
      <c r="AU62" s="699">
        <v>22036.969349999999</v>
      </c>
      <c r="AV62" s="699">
        <v>21250.127619999999</v>
      </c>
      <c r="AW62" s="699">
        <v>21250.127619999999</v>
      </c>
      <c r="AX62" s="699">
        <v>21250.127619999999</v>
      </c>
      <c r="AY62" s="699">
        <v>21250.127619999999</v>
      </c>
      <c r="AZ62" s="699">
        <v>21250.127619999999</v>
      </c>
      <c r="BA62" s="699">
        <v>21208.816699999999</v>
      </c>
      <c r="BB62" s="699">
        <v>21208.816699999999</v>
      </c>
      <c r="BC62" s="699">
        <v>18146.451509999999</v>
      </c>
      <c r="BD62" s="699">
        <v>16773.04623</v>
      </c>
      <c r="BE62" s="699">
        <v>16562.594929999999</v>
      </c>
      <c r="BF62" s="699">
        <v>16562.594929999999</v>
      </c>
      <c r="BG62" s="699">
        <v>16463.410629999998</v>
      </c>
      <c r="BH62" s="699">
        <v>16463.410629999998</v>
      </c>
      <c r="BI62" s="699">
        <v>16443.749230000001</v>
      </c>
      <c r="BJ62" s="699">
        <v>7410.0275259999999</v>
      </c>
      <c r="BK62" s="699">
        <v>7410.0275259999999</v>
      </c>
      <c r="BL62" s="699">
        <v>7410.0275259999999</v>
      </c>
      <c r="BM62" s="699">
        <v>7410.0275259999999</v>
      </c>
      <c r="BN62" s="699">
        <v>0</v>
      </c>
      <c r="BO62" s="699">
        <v>0</v>
      </c>
      <c r="BP62" s="699">
        <v>0</v>
      </c>
      <c r="BQ62" s="699">
        <v>0</v>
      </c>
      <c r="BR62" s="699">
        <v>0</v>
      </c>
      <c r="BS62" s="699">
        <v>0</v>
      </c>
      <c r="BT62" s="700">
        <v>0</v>
      </c>
    </row>
    <row r="63" spans="2:73">
      <c r="B63" s="694" t="s">
        <v>209</v>
      </c>
      <c r="C63" s="694" t="s">
        <v>698</v>
      </c>
      <c r="D63" s="694" t="s">
        <v>21</v>
      </c>
      <c r="E63" s="694" t="s">
        <v>684</v>
      </c>
      <c r="F63" s="694" t="s">
        <v>710</v>
      </c>
      <c r="G63" s="694" t="s">
        <v>701</v>
      </c>
      <c r="H63" s="694">
        <v>2014</v>
      </c>
      <c r="I63" s="646" t="s">
        <v>583</v>
      </c>
      <c r="J63" s="646" t="s">
        <v>598</v>
      </c>
      <c r="K63" s="635"/>
      <c r="L63" s="698">
        <v>0</v>
      </c>
      <c r="M63" s="699">
        <v>0</v>
      </c>
      <c r="N63" s="699">
        <v>0</v>
      </c>
      <c r="O63" s="699">
        <v>15.35525052</v>
      </c>
      <c r="P63" s="699">
        <v>15.165059469999999</v>
      </c>
      <c r="Q63" s="699">
        <v>14.210945690000001</v>
      </c>
      <c r="R63" s="699">
        <v>10.66641531</v>
      </c>
      <c r="S63" s="699">
        <v>10.66641531</v>
      </c>
      <c r="T63" s="699">
        <v>10.66641531</v>
      </c>
      <c r="U63" s="699">
        <v>10.66641531</v>
      </c>
      <c r="V63" s="699">
        <v>10.66641531</v>
      </c>
      <c r="W63" s="699">
        <v>10.66641531</v>
      </c>
      <c r="X63" s="699">
        <v>10.66641531</v>
      </c>
      <c r="Y63" s="699">
        <v>10.66641531</v>
      </c>
      <c r="Z63" s="699">
        <v>9.3498307440000001</v>
      </c>
      <c r="AA63" s="699">
        <v>0</v>
      </c>
      <c r="AB63" s="699">
        <v>0</v>
      </c>
      <c r="AC63" s="699">
        <v>0</v>
      </c>
      <c r="AD63" s="699">
        <v>0</v>
      </c>
      <c r="AE63" s="699">
        <v>0</v>
      </c>
      <c r="AF63" s="699">
        <v>0</v>
      </c>
      <c r="AG63" s="699">
        <v>0</v>
      </c>
      <c r="AH63" s="699">
        <v>0</v>
      </c>
      <c r="AI63" s="699">
        <v>0</v>
      </c>
      <c r="AJ63" s="699">
        <v>0</v>
      </c>
      <c r="AK63" s="699">
        <v>0</v>
      </c>
      <c r="AL63" s="699">
        <v>0</v>
      </c>
      <c r="AM63" s="699">
        <v>0</v>
      </c>
      <c r="AN63" s="699">
        <v>0</v>
      </c>
      <c r="AO63" s="700">
        <v>0</v>
      </c>
      <c r="AP63" s="635"/>
      <c r="AQ63" s="698">
        <v>0</v>
      </c>
      <c r="AR63" s="699">
        <v>0</v>
      </c>
      <c r="AS63" s="699">
        <v>0</v>
      </c>
      <c r="AT63" s="699">
        <v>52904.290760000004</v>
      </c>
      <c r="AU63" s="699">
        <v>52159.344129999998</v>
      </c>
      <c r="AV63" s="699">
        <v>48756.82748</v>
      </c>
      <c r="AW63" s="699">
        <v>36830.740850000002</v>
      </c>
      <c r="AX63" s="699">
        <v>36830.740850000002</v>
      </c>
      <c r="AY63" s="699">
        <v>36830.740850000002</v>
      </c>
      <c r="AZ63" s="699">
        <v>36830.740850000002</v>
      </c>
      <c r="BA63" s="699">
        <v>36830.740850000002</v>
      </c>
      <c r="BB63" s="699">
        <v>36830.740850000002</v>
      </c>
      <c r="BC63" s="699">
        <v>36830.740850000002</v>
      </c>
      <c r="BD63" s="699">
        <v>36830.740850000002</v>
      </c>
      <c r="BE63" s="699">
        <v>31942.319289999999</v>
      </c>
      <c r="BF63" s="699">
        <v>0</v>
      </c>
      <c r="BG63" s="699">
        <v>0</v>
      </c>
      <c r="BH63" s="699">
        <v>0</v>
      </c>
      <c r="BI63" s="699">
        <v>0</v>
      </c>
      <c r="BJ63" s="699">
        <v>0</v>
      </c>
      <c r="BK63" s="699">
        <v>0</v>
      </c>
      <c r="BL63" s="699">
        <v>0</v>
      </c>
      <c r="BM63" s="699">
        <v>0</v>
      </c>
      <c r="BN63" s="699">
        <v>0</v>
      </c>
      <c r="BO63" s="699">
        <v>0</v>
      </c>
      <c r="BP63" s="699">
        <v>0</v>
      </c>
      <c r="BQ63" s="699">
        <v>0</v>
      </c>
      <c r="BR63" s="699">
        <v>0</v>
      </c>
      <c r="BS63" s="699">
        <v>0</v>
      </c>
      <c r="BT63" s="700">
        <v>0</v>
      </c>
    </row>
    <row r="64" spans="2:73">
      <c r="B64" s="694" t="s">
        <v>209</v>
      </c>
      <c r="C64" s="694" t="s">
        <v>708</v>
      </c>
      <c r="D64" s="694" t="s">
        <v>14</v>
      </c>
      <c r="E64" s="694" t="s">
        <v>684</v>
      </c>
      <c r="F64" s="694" t="s">
        <v>29</v>
      </c>
      <c r="G64" s="694" t="s">
        <v>701</v>
      </c>
      <c r="H64" s="694">
        <v>2014</v>
      </c>
      <c r="I64" s="646" t="s">
        <v>583</v>
      </c>
      <c r="J64" s="646" t="s">
        <v>598</v>
      </c>
      <c r="K64" s="635"/>
      <c r="L64" s="698">
        <v>0</v>
      </c>
      <c r="M64" s="699">
        <v>0</v>
      </c>
      <c r="N64" s="699">
        <v>0</v>
      </c>
      <c r="O64" s="699">
        <v>7.4468560220000004</v>
      </c>
      <c r="P64" s="699">
        <v>7.4389760010000003</v>
      </c>
      <c r="Q64" s="699">
        <v>7.0080603950000002</v>
      </c>
      <c r="R64" s="699">
        <v>6.8241226619999997</v>
      </c>
      <c r="S64" s="699">
        <v>6.6365213509999998</v>
      </c>
      <c r="T64" s="699">
        <v>6.6365213509999998</v>
      </c>
      <c r="U64" s="699">
        <v>6.4708146129999999</v>
      </c>
      <c r="V64" s="699">
        <v>6.4708146129999999</v>
      </c>
      <c r="W64" s="699">
        <v>4.7660564059999997</v>
      </c>
      <c r="X64" s="699">
        <v>4.7660564059999997</v>
      </c>
      <c r="Y64" s="699">
        <v>0.758031236</v>
      </c>
      <c r="Z64" s="699">
        <v>0.758031236</v>
      </c>
      <c r="AA64" s="699">
        <v>0.758031236</v>
      </c>
      <c r="AB64" s="699">
        <v>0.758031236</v>
      </c>
      <c r="AC64" s="699">
        <v>0.59383124300000001</v>
      </c>
      <c r="AD64" s="699">
        <v>0</v>
      </c>
      <c r="AE64" s="699">
        <v>0</v>
      </c>
      <c r="AF64" s="699">
        <v>0</v>
      </c>
      <c r="AG64" s="699">
        <v>0</v>
      </c>
      <c r="AH64" s="699">
        <v>0</v>
      </c>
      <c r="AI64" s="699">
        <v>0</v>
      </c>
      <c r="AJ64" s="699">
        <v>0</v>
      </c>
      <c r="AK64" s="699">
        <v>0</v>
      </c>
      <c r="AL64" s="699">
        <v>0</v>
      </c>
      <c r="AM64" s="699">
        <v>0</v>
      </c>
      <c r="AN64" s="699">
        <v>0</v>
      </c>
      <c r="AO64" s="700">
        <v>0</v>
      </c>
      <c r="AP64" s="635"/>
      <c r="AQ64" s="698">
        <v>0</v>
      </c>
      <c r="AR64" s="699">
        <v>0</v>
      </c>
      <c r="AS64" s="699">
        <v>0</v>
      </c>
      <c r="AT64" s="699">
        <v>91975.496710000007</v>
      </c>
      <c r="AU64" s="699">
        <v>91822.043600000005</v>
      </c>
      <c r="AV64" s="699">
        <v>83543.472640000007</v>
      </c>
      <c r="AW64" s="699">
        <v>80018.000490000006</v>
      </c>
      <c r="AX64" s="699">
        <v>76421.368730000002</v>
      </c>
      <c r="AY64" s="699">
        <v>76421.368730000002</v>
      </c>
      <c r="AZ64" s="699">
        <v>73242.504719999997</v>
      </c>
      <c r="BA64" s="699">
        <v>73242.504719999997</v>
      </c>
      <c r="BB64" s="699">
        <v>40493.823400000001</v>
      </c>
      <c r="BC64" s="699">
        <v>40493.823400000001</v>
      </c>
      <c r="BD64" s="699">
        <v>6255.5625</v>
      </c>
      <c r="BE64" s="699">
        <v>6255.5625</v>
      </c>
      <c r="BF64" s="699">
        <v>6255.5625</v>
      </c>
      <c r="BG64" s="699">
        <v>6255.5625</v>
      </c>
      <c r="BH64" s="699">
        <v>4905.5625</v>
      </c>
      <c r="BI64" s="699">
        <v>0</v>
      </c>
      <c r="BJ64" s="699">
        <v>0</v>
      </c>
      <c r="BK64" s="699">
        <v>0</v>
      </c>
      <c r="BL64" s="699">
        <v>0</v>
      </c>
      <c r="BM64" s="699">
        <v>0</v>
      </c>
      <c r="BN64" s="699">
        <v>0</v>
      </c>
      <c r="BO64" s="699">
        <v>0</v>
      </c>
      <c r="BP64" s="699">
        <v>0</v>
      </c>
      <c r="BQ64" s="699">
        <v>0</v>
      </c>
      <c r="BR64" s="699">
        <v>0</v>
      </c>
      <c r="BS64" s="699">
        <v>0</v>
      </c>
      <c r="BT64" s="700">
        <v>0</v>
      </c>
    </row>
    <row r="65" spans="2:73">
      <c r="B65" s="694" t="s">
        <v>209</v>
      </c>
      <c r="C65" s="694" t="s">
        <v>697</v>
      </c>
      <c r="D65" s="694" t="s">
        <v>3</v>
      </c>
      <c r="E65" s="694" t="s">
        <v>684</v>
      </c>
      <c r="F65" s="694" t="s">
        <v>29</v>
      </c>
      <c r="G65" s="694" t="s">
        <v>701</v>
      </c>
      <c r="H65" s="694">
        <v>2014</v>
      </c>
      <c r="I65" s="646" t="s">
        <v>583</v>
      </c>
      <c r="J65" s="646" t="s">
        <v>598</v>
      </c>
      <c r="K65" s="635"/>
      <c r="L65" s="698">
        <v>0</v>
      </c>
      <c r="M65" s="699">
        <v>0</v>
      </c>
      <c r="N65" s="699">
        <v>0</v>
      </c>
      <c r="O65" s="699">
        <v>0.40295044899999999</v>
      </c>
      <c r="P65" s="699">
        <v>0.40295044899999999</v>
      </c>
      <c r="Q65" s="699">
        <v>0.40295044899999999</v>
      </c>
      <c r="R65" s="699">
        <v>0.40295044899999999</v>
      </c>
      <c r="S65" s="699">
        <v>0.40295044899999999</v>
      </c>
      <c r="T65" s="699">
        <v>0.40295044899999999</v>
      </c>
      <c r="U65" s="699">
        <v>0.40295044899999999</v>
      </c>
      <c r="V65" s="699">
        <v>0.40295044899999999</v>
      </c>
      <c r="W65" s="699">
        <v>0.40295044899999999</v>
      </c>
      <c r="X65" s="699">
        <v>0.40295044899999999</v>
      </c>
      <c r="Y65" s="699">
        <v>0.40295044899999999</v>
      </c>
      <c r="Z65" s="699">
        <v>0.40295044899999999</v>
      </c>
      <c r="AA65" s="699">
        <v>0.40295044899999999</v>
      </c>
      <c r="AB65" s="699">
        <v>0.40295044899999999</v>
      </c>
      <c r="AC65" s="699">
        <v>0.40295044899999999</v>
      </c>
      <c r="AD65" s="699">
        <v>0.40295044899999999</v>
      </c>
      <c r="AE65" s="699">
        <v>0.40295044899999999</v>
      </c>
      <c r="AF65" s="699">
        <v>0.40295044899999999</v>
      </c>
      <c r="AG65" s="699">
        <v>0.29743244699999999</v>
      </c>
      <c r="AH65" s="699">
        <v>0</v>
      </c>
      <c r="AI65" s="699">
        <v>0</v>
      </c>
      <c r="AJ65" s="699">
        <v>0</v>
      </c>
      <c r="AK65" s="699">
        <v>0</v>
      </c>
      <c r="AL65" s="699">
        <v>0</v>
      </c>
      <c r="AM65" s="699">
        <v>0</v>
      </c>
      <c r="AN65" s="699">
        <v>0</v>
      </c>
      <c r="AO65" s="700">
        <v>0</v>
      </c>
      <c r="AP65" s="635"/>
      <c r="AQ65" s="698">
        <v>0</v>
      </c>
      <c r="AR65" s="699">
        <v>0</v>
      </c>
      <c r="AS65" s="699">
        <v>0</v>
      </c>
      <c r="AT65" s="699">
        <v>675.85157537999999</v>
      </c>
      <c r="AU65" s="699">
        <v>675.85157537999999</v>
      </c>
      <c r="AV65" s="699">
        <v>675.85157537999999</v>
      </c>
      <c r="AW65" s="699">
        <v>675.85157537999999</v>
      </c>
      <c r="AX65" s="699">
        <v>675.85157537999999</v>
      </c>
      <c r="AY65" s="699">
        <v>675.85157537999999</v>
      </c>
      <c r="AZ65" s="699">
        <v>675.85157537999999</v>
      </c>
      <c r="BA65" s="699">
        <v>675.85157537999999</v>
      </c>
      <c r="BB65" s="699">
        <v>675.85157537999999</v>
      </c>
      <c r="BC65" s="699">
        <v>675.85157537999999</v>
      </c>
      <c r="BD65" s="699">
        <v>675.85157537999999</v>
      </c>
      <c r="BE65" s="699">
        <v>675.85157537999999</v>
      </c>
      <c r="BF65" s="699">
        <v>675.85157537999999</v>
      </c>
      <c r="BG65" s="699">
        <v>675.85157537999999</v>
      </c>
      <c r="BH65" s="699">
        <v>675.85157537999999</v>
      </c>
      <c r="BI65" s="699">
        <v>675.85157537999999</v>
      </c>
      <c r="BJ65" s="699">
        <v>675.85157537999999</v>
      </c>
      <c r="BK65" s="699">
        <v>675.85157537999999</v>
      </c>
      <c r="BL65" s="699">
        <v>581.4916356</v>
      </c>
      <c r="BM65" s="699">
        <v>0</v>
      </c>
      <c r="BN65" s="699">
        <v>0</v>
      </c>
      <c r="BO65" s="699">
        <v>0</v>
      </c>
      <c r="BP65" s="699">
        <v>0</v>
      </c>
      <c r="BQ65" s="699">
        <v>0</v>
      </c>
      <c r="BR65" s="699">
        <v>0</v>
      </c>
      <c r="BS65" s="699">
        <v>0</v>
      </c>
      <c r="BT65" s="700">
        <v>0</v>
      </c>
    </row>
    <row r="66" spans="2:73">
      <c r="B66" s="694" t="s">
        <v>209</v>
      </c>
      <c r="C66" s="694" t="s">
        <v>698</v>
      </c>
      <c r="D66" s="694" t="s">
        <v>22</v>
      </c>
      <c r="E66" s="694" t="s">
        <v>684</v>
      </c>
      <c r="F66" s="694" t="s">
        <v>710</v>
      </c>
      <c r="G66" s="694" t="s">
        <v>701</v>
      </c>
      <c r="H66" s="694">
        <v>2014</v>
      </c>
      <c r="I66" s="646" t="s">
        <v>583</v>
      </c>
      <c r="J66" s="646" t="s">
        <v>598</v>
      </c>
      <c r="K66" s="635"/>
      <c r="L66" s="698">
        <v>0</v>
      </c>
      <c r="M66" s="699">
        <v>0</v>
      </c>
      <c r="N66" s="699">
        <v>0</v>
      </c>
      <c r="O66" s="699">
        <v>10.99671745</v>
      </c>
      <c r="P66" s="699">
        <v>10.99671745</v>
      </c>
      <c r="Q66" s="699">
        <v>10.99671745</v>
      </c>
      <c r="R66" s="699">
        <v>10.99671745</v>
      </c>
      <c r="S66" s="699">
        <v>10.99671745</v>
      </c>
      <c r="T66" s="699">
        <v>10.99671745</v>
      </c>
      <c r="U66" s="699">
        <v>10.402329529999999</v>
      </c>
      <c r="V66" s="699">
        <v>10.402329529999999</v>
      </c>
      <c r="W66" s="699">
        <v>9.9266443150000008</v>
      </c>
      <c r="X66" s="699">
        <v>7.408528424</v>
      </c>
      <c r="Y66" s="699">
        <v>4.9440266599999996</v>
      </c>
      <c r="Z66" s="699">
        <v>4.9440266599999996</v>
      </c>
      <c r="AA66" s="699">
        <v>4.9440266599999996</v>
      </c>
      <c r="AB66" s="699">
        <v>4.9440266599999996</v>
      </c>
      <c r="AC66" s="699">
        <v>4.9440266599999996</v>
      </c>
      <c r="AD66" s="699">
        <v>3.882422434</v>
      </c>
      <c r="AE66" s="699">
        <v>0</v>
      </c>
      <c r="AF66" s="699">
        <v>0</v>
      </c>
      <c r="AG66" s="699">
        <v>0</v>
      </c>
      <c r="AH66" s="699">
        <v>0</v>
      </c>
      <c r="AI66" s="699">
        <v>0</v>
      </c>
      <c r="AJ66" s="699">
        <v>0</v>
      </c>
      <c r="AK66" s="699">
        <v>0</v>
      </c>
      <c r="AL66" s="699">
        <v>0</v>
      </c>
      <c r="AM66" s="699">
        <v>0</v>
      </c>
      <c r="AN66" s="699">
        <v>0</v>
      </c>
      <c r="AO66" s="700">
        <v>0</v>
      </c>
      <c r="AP66" s="635"/>
      <c r="AQ66" s="698">
        <v>0</v>
      </c>
      <c r="AR66" s="699">
        <v>0</v>
      </c>
      <c r="AS66" s="699">
        <v>0</v>
      </c>
      <c r="AT66" s="699">
        <v>28611.979080000001</v>
      </c>
      <c r="AU66" s="699">
        <v>28611.979080000001</v>
      </c>
      <c r="AV66" s="699">
        <v>28611.979080000001</v>
      </c>
      <c r="AW66" s="699">
        <v>28611.979080000001</v>
      </c>
      <c r="AX66" s="699">
        <v>28611.979080000001</v>
      </c>
      <c r="AY66" s="699">
        <v>28611.979080000001</v>
      </c>
      <c r="AZ66" s="699">
        <v>25741.23633</v>
      </c>
      <c r="BA66" s="699">
        <v>25741.23633</v>
      </c>
      <c r="BB66" s="699">
        <v>24084.192340000001</v>
      </c>
      <c r="BC66" s="699">
        <v>11922.331910000001</v>
      </c>
      <c r="BD66" s="699">
        <v>19.414094890000001</v>
      </c>
      <c r="BE66" s="699">
        <v>19.414094890000001</v>
      </c>
      <c r="BF66" s="699">
        <v>19.414094890000001</v>
      </c>
      <c r="BG66" s="699">
        <v>19.414094890000001</v>
      </c>
      <c r="BH66" s="699">
        <v>19.414094890000001</v>
      </c>
      <c r="BI66" s="699">
        <v>15.24541082</v>
      </c>
      <c r="BJ66" s="699">
        <v>0</v>
      </c>
      <c r="BK66" s="699">
        <v>0</v>
      </c>
      <c r="BL66" s="699">
        <v>0</v>
      </c>
      <c r="BM66" s="699">
        <v>0</v>
      </c>
      <c r="BN66" s="699">
        <v>0</v>
      </c>
      <c r="BO66" s="699">
        <v>0</v>
      </c>
      <c r="BP66" s="699">
        <v>0</v>
      </c>
      <c r="BQ66" s="699">
        <v>0</v>
      </c>
      <c r="BR66" s="699">
        <v>0</v>
      </c>
      <c r="BS66" s="699">
        <v>0</v>
      </c>
      <c r="BT66" s="700">
        <v>0</v>
      </c>
    </row>
    <row r="67" spans="2:73">
      <c r="B67" s="694" t="s">
        <v>209</v>
      </c>
      <c r="C67" s="694" t="s">
        <v>492</v>
      </c>
      <c r="D67" s="694" t="s">
        <v>709</v>
      </c>
      <c r="E67" s="694" t="s">
        <v>684</v>
      </c>
      <c r="F67" s="694" t="s">
        <v>492</v>
      </c>
      <c r="G67" s="694" t="s">
        <v>701</v>
      </c>
      <c r="H67" s="694">
        <v>2014</v>
      </c>
      <c r="I67" s="646" t="s">
        <v>583</v>
      </c>
      <c r="J67" s="646" t="s">
        <v>598</v>
      </c>
      <c r="K67" s="635"/>
      <c r="L67" s="698">
        <v>0</v>
      </c>
      <c r="M67" s="699">
        <v>0</v>
      </c>
      <c r="N67" s="699">
        <v>0</v>
      </c>
      <c r="O67" s="699">
        <v>21.011144389999998</v>
      </c>
      <c r="P67" s="699">
        <v>0</v>
      </c>
      <c r="Q67" s="699">
        <v>0</v>
      </c>
      <c r="R67" s="699">
        <v>0</v>
      </c>
      <c r="S67" s="699">
        <v>0</v>
      </c>
      <c r="T67" s="699">
        <v>0</v>
      </c>
      <c r="U67" s="699">
        <v>0</v>
      </c>
      <c r="V67" s="699">
        <v>0</v>
      </c>
      <c r="W67" s="699">
        <v>0</v>
      </c>
      <c r="X67" s="699">
        <v>0</v>
      </c>
      <c r="Y67" s="699">
        <v>0</v>
      </c>
      <c r="Z67" s="699">
        <v>0</v>
      </c>
      <c r="AA67" s="699">
        <v>0</v>
      </c>
      <c r="AB67" s="699">
        <v>0</v>
      </c>
      <c r="AC67" s="699">
        <v>0</v>
      </c>
      <c r="AD67" s="699">
        <v>0</v>
      </c>
      <c r="AE67" s="699">
        <v>0</v>
      </c>
      <c r="AF67" s="699">
        <v>0</v>
      </c>
      <c r="AG67" s="699">
        <v>0</v>
      </c>
      <c r="AH67" s="699">
        <v>0</v>
      </c>
      <c r="AI67" s="699">
        <v>0</v>
      </c>
      <c r="AJ67" s="699">
        <v>0</v>
      </c>
      <c r="AK67" s="699">
        <v>0</v>
      </c>
      <c r="AL67" s="699">
        <v>0</v>
      </c>
      <c r="AM67" s="699">
        <v>0</v>
      </c>
      <c r="AN67" s="699">
        <v>0</v>
      </c>
      <c r="AO67" s="700">
        <v>0</v>
      </c>
      <c r="AP67" s="635"/>
      <c r="AQ67" s="698">
        <v>0</v>
      </c>
      <c r="AR67" s="699">
        <v>0</v>
      </c>
      <c r="AS67" s="699">
        <v>0</v>
      </c>
      <c r="AT67" s="699">
        <v>0</v>
      </c>
      <c r="AU67" s="699">
        <v>0</v>
      </c>
      <c r="AV67" s="699">
        <v>0</v>
      </c>
      <c r="AW67" s="699">
        <v>0</v>
      </c>
      <c r="AX67" s="699">
        <v>0</v>
      </c>
      <c r="AY67" s="699">
        <v>0</v>
      </c>
      <c r="AZ67" s="699">
        <v>0</v>
      </c>
      <c r="BA67" s="699">
        <v>0</v>
      </c>
      <c r="BB67" s="699">
        <v>0</v>
      </c>
      <c r="BC67" s="699">
        <v>0</v>
      </c>
      <c r="BD67" s="699">
        <v>0</v>
      </c>
      <c r="BE67" s="699">
        <v>0</v>
      </c>
      <c r="BF67" s="699">
        <v>0</v>
      </c>
      <c r="BG67" s="699">
        <v>0</v>
      </c>
      <c r="BH67" s="699">
        <v>0</v>
      </c>
      <c r="BI67" s="699">
        <v>0</v>
      </c>
      <c r="BJ67" s="699">
        <v>0</v>
      </c>
      <c r="BK67" s="699">
        <v>0</v>
      </c>
      <c r="BL67" s="699">
        <v>0</v>
      </c>
      <c r="BM67" s="699">
        <v>0</v>
      </c>
      <c r="BN67" s="699">
        <v>0</v>
      </c>
      <c r="BO67" s="699">
        <v>0</v>
      </c>
      <c r="BP67" s="699">
        <v>0</v>
      </c>
      <c r="BQ67" s="699">
        <v>0</v>
      </c>
      <c r="BR67" s="699">
        <v>0</v>
      </c>
      <c r="BS67" s="699">
        <v>0</v>
      </c>
      <c r="BT67" s="700">
        <v>0</v>
      </c>
    </row>
    <row r="68" spans="2:73">
      <c r="B68" s="694" t="s">
        <v>506</v>
      </c>
      <c r="C68" s="694" t="s">
        <v>697</v>
      </c>
      <c r="D68" s="694" t="s">
        <v>97</v>
      </c>
      <c r="E68" s="694" t="s">
        <v>684</v>
      </c>
      <c r="F68" s="694" t="s">
        <v>29</v>
      </c>
      <c r="G68" s="694" t="s">
        <v>701</v>
      </c>
      <c r="H68" s="694">
        <v>2015</v>
      </c>
      <c r="I68" s="646" t="s">
        <v>584</v>
      </c>
      <c r="J68" s="646" t="s">
        <v>598</v>
      </c>
      <c r="K68" s="635"/>
      <c r="L68" s="698"/>
      <c r="M68" s="699"/>
      <c r="N68" s="699"/>
      <c r="O68" s="699"/>
      <c r="P68" s="699">
        <v>2</v>
      </c>
      <c r="Q68" s="699">
        <v>2</v>
      </c>
      <c r="R68" s="699">
        <v>2</v>
      </c>
      <c r="S68" s="699">
        <v>2</v>
      </c>
      <c r="T68" s="699">
        <v>1</v>
      </c>
      <c r="U68" s="699">
        <v>0</v>
      </c>
      <c r="V68" s="699">
        <v>0</v>
      </c>
      <c r="W68" s="699">
        <v>0</v>
      </c>
      <c r="X68" s="699">
        <v>0</v>
      </c>
      <c r="Y68" s="699">
        <v>0</v>
      </c>
      <c r="Z68" s="699">
        <v>0</v>
      </c>
      <c r="AA68" s="699">
        <v>0</v>
      </c>
      <c r="AB68" s="699">
        <v>0</v>
      </c>
      <c r="AC68" s="699">
        <v>0</v>
      </c>
      <c r="AD68" s="699">
        <v>0</v>
      </c>
      <c r="AE68" s="699">
        <v>0</v>
      </c>
      <c r="AF68" s="699">
        <v>0</v>
      </c>
      <c r="AG68" s="699">
        <v>0</v>
      </c>
      <c r="AH68" s="699">
        <v>0</v>
      </c>
      <c r="AI68" s="699">
        <v>0</v>
      </c>
      <c r="AJ68" s="699">
        <v>0</v>
      </c>
      <c r="AK68" s="699">
        <v>0</v>
      </c>
      <c r="AL68" s="699">
        <v>0</v>
      </c>
      <c r="AM68" s="699">
        <v>0</v>
      </c>
      <c r="AN68" s="699">
        <v>0</v>
      </c>
      <c r="AO68" s="700">
        <v>0</v>
      </c>
      <c r="AP68" s="635"/>
      <c r="AQ68" s="698"/>
      <c r="AR68" s="699"/>
      <c r="AS68" s="699"/>
      <c r="AT68" s="699"/>
      <c r="AU68" s="699">
        <v>14859</v>
      </c>
      <c r="AV68" s="699">
        <v>14859</v>
      </c>
      <c r="AW68" s="699">
        <v>14859</v>
      </c>
      <c r="AX68" s="699">
        <v>14859</v>
      </c>
      <c r="AY68" s="699">
        <v>9767</v>
      </c>
      <c r="AZ68" s="699">
        <v>0</v>
      </c>
      <c r="BA68" s="699">
        <v>0</v>
      </c>
      <c r="BB68" s="699">
        <v>0</v>
      </c>
      <c r="BC68" s="699">
        <v>0</v>
      </c>
      <c r="BD68" s="699">
        <v>0</v>
      </c>
      <c r="BE68" s="699">
        <v>0</v>
      </c>
      <c r="BF68" s="699">
        <v>0</v>
      </c>
      <c r="BG68" s="699">
        <v>0</v>
      </c>
      <c r="BH68" s="699">
        <v>0</v>
      </c>
      <c r="BI68" s="699">
        <v>0</v>
      </c>
      <c r="BJ68" s="699">
        <v>0</v>
      </c>
      <c r="BK68" s="699">
        <v>0</v>
      </c>
      <c r="BL68" s="699">
        <v>0</v>
      </c>
      <c r="BM68" s="699">
        <v>0</v>
      </c>
      <c r="BN68" s="699">
        <v>0</v>
      </c>
      <c r="BO68" s="699">
        <v>0</v>
      </c>
      <c r="BP68" s="699">
        <v>0</v>
      </c>
      <c r="BQ68" s="699">
        <v>0</v>
      </c>
      <c r="BR68" s="699">
        <v>0</v>
      </c>
      <c r="BS68" s="699">
        <v>0</v>
      </c>
      <c r="BT68" s="700">
        <v>0</v>
      </c>
    </row>
    <row r="69" spans="2:73">
      <c r="B69" s="694" t="s">
        <v>506</v>
      </c>
      <c r="C69" s="694" t="s">
        <v>697</v>
      </c>
      <c r="D69" s="694" t="s">
        <v>96</v>
      </c>
      <c r="E69" s="694" t="s">
        <v>684</v>
      </c>
      <c r="F69" s="694" t="s">
        <v>29</v>
      </c>
      <c r="G69" s="694" t="s">
        <v>701</v>
      </c>
      <c r="H69" s="694">
        <v>2015</v>
      </c>
      <c r="I69" s="646" t="s">
        <v>584</v>
      </c>
      <c r="J69" s="646" t="s">
        <v>598</v>
      </c>
      <c r="K69" s="635"/>
      <c r="L69" s="698"/>
      <c r="M69" s="699"/>
      <c r="N69" s="699"/>
      <c r="O69" s="699"/>
      <c r="P69" s="699">
        <v>5</v>
      </c>
      <c r="Q69" s="699">
        <v>5</v>
      </c>
      <c r="R69" s="699">
        <v>5</v>
      </c>
      <c r="S69" s="699">
        <v>5</v>
      </c>
      <c r="T69" s="699">
        <v>5</v>
      </c>
      <c r="U69" s="699">
        <v>5</v>
      </c>
      <c r="V69" s="699">
        <v>5</v>
      </c>
      <c r="W69" s="699">
        <v>5</v>
      </c>
      <c r="X69" s="699">
        <v>5</v>
      </c>
      <c r="Y69" s="699">
        <v>5</v>
      </c>
      <c r="Z69" s="699">
        <v>4</v>
      </c>
      <c r="AA69" s="699">
        <v>4</v>
      </c>
      <c r="AB69" s="699">
        <v>4</v>
      </c>
      <c r="AC69" s="699">
        <v>4</v>
      </c>
      <c r="AD69" s="699">
        <v>4</v>
      </c>
      <c r="AE69" s="699">
        <v>4</v>
      </c>
      <c r="AF69" s="699">
        <v>2</v>
      </c>
      <c r="AG69" s="699">
        <v>2</v>
      </c>
      <c r="AH69" s="699">
        <v>2</v>
      </c>
      <c r="AI69" s="699">
        <v>2</v>
      </c>
      <c r="AJ69" s="699">
        <v>0</v>
      </c>
      <c r="AK69" s="699">
        <v>0</v>
      </c>
      <c r="AL69" s="699">
        <v>0</v>
      </c>
      <c r="AM69" s="699">
        <v>0</v>
      </c>
      <c r="AN69" s="699">
        <v>0</v>
      </c>
      <c r="AO69" s="700">
        <v>0</v>
      </c>
      <c r="AP69" s="635"/>
      <c r="AQ69" s="698"/>
      <c r="AR69" s="699"/>
      <c r="AS69" s="699"/>
      <c r="AT69" s="699"/>
      <c r="AU69" s="699">
        <v>77899</v>
      </c>
      <c r="AV69" s="699">
        <v>76515</v>
      </c>
      <c r="AW69" s="699">
        <v>76515</v>
      </c>
      <c r="AX69" s="699">
        <v>76515</v>
      </c>
      <c r="AY69" s="699">
        <v>76515</v>
      </c>
      <c r="AZ69" s="699">
        <v>76515</v>
      </c>
      <c r="BA69" s="699">
        <v>76515</v>
      </c>
      <c r="BB69" s="699">
        <v>76475</v>
      </c>
      <c r="BC69" s="699">
        <v>76475</v>
      </c>
      <c r="BD69" s="699">
        <v>76475</v>
      </c>
      <c r="BE69" s="699">
        <v>70521</v>
      </c>
      <c r="BF69" s="699">
        <v>66890</v>
      </c>
      <c r="BG69" s="699">
        <v>66890</v>
      </c>
      <c r="BH69" s="699">
        <v>65451</v>
      </c>
      <c r="BI69" s="699">
        <v>65451</v>
      </c>
      <c r="BJ69" s="699">
        <v>65298</v>
      </c>
      <c r="BK69" s="699">
        <v>24191</v>
      </c>
      <c r="BL69" s="699">
        <v>24191</v>
      </c>
      <c r="BM69" s="699">
        <v>24191</v>
      </c>
      <c r="BN69" s="699">
        <v>24191</v>
      </c>
      <c r="BO69" s="699">
        <v>0</v>
      </c>
      <c r="BP69" s="699">
        <v>0</v>
      </c>
      <c r="BQ69" s="699">
        <v>0</v>
      </c>
      <c r="BR69" s="699">
        <v>0</v>
      </c>
      <c r="BS69" s="699">
        <v>0</v>
      </c>
      <c r="BT69" s="700">
        <v>0</v>
      </c>
    </row>
    <row r="70" spans="2:73">
      <c r="B70" s="694" t="s">
        <v>506</v>
      </c>
      <c r="C70" s="694" t="s">
        <v>697</v>
      </c>
      <c r="D70" s="694" t="s">
        <v>95</v>
      </c>
      <c r="E70" s="694" t="s">
        <v>684</v>
      </c>
      <c r="F70" s="694" t="s">
        <v>29</v>
      </c>
      <c r="G70" s="694" t="s">
        <v>701</v>
      </c>
      <c r="H70" s="694">
        <v>2015</v>
      </c>
      <c r="I70" s="646" t="s">
        <v>584</v>
      </c>
      <c r="J70" s="646" t="s">
        <v>598</v>
      </c>
      <c r="K70" s="635"/>
      <c r="L70" s="698"/>
      <c r="M70" s="699"/>
      <c r="N70" s="699"/>
      <c r="O70" s="699"/>
      <c r="P70" s="699">
        <v>3</v>
      </c>
      <c r="Q70" s="699">
        <v>3</v>
      </c>
      <c r="R70" s="699">
        <v>3</v>
      </c>
      <c r="S70" s="699">
        <v>3</v>
      </c>
      <c r="T70" s="699">
        <v>3</v>
      </c>
      <c r="U70" s="699">
        <v>3</v>
      </c>
      <c r="V70" s="699">
        <v>3</v>
      </c>
      <c r="W70" s="699">
        <v>3</v>
      </c>
      <c r="X70" s="699">
        <v>3</v>
      </c>
      <c r="Y70" s="699">
        <v>3</v>
      </c>
      <c r="Z70" s="699">
        <v>2</v>
      </c>
      <c r="AA70" s="699">
        <v>2</v>
      </c>
      <c r="AB70" s="699">
        <v>2</v>
      </c>
      <c r="AC70" s="699">
        <v>2</v>
      </c>
      <c r="AD70" s="699">
        <v>2</v>
      </c>
      <c r="AE70" s="699">
        <v>2</v>
      </c>
      <c r="AF70" s="699">
        <v>1</v>
      </c>
      <c r="AG70" s="699">
        <v>1</v>
      </c>
      <c r="AH70" s="699">
        <v>1</v>
      </c>
      <c r="AI70" s="699">
        <v>1</v>
      </c>
      <c r="AJ70" s="699">
        <v>0</v>
      </c>
      <c r="AK70" s="699">
        <v>0</v>
      </c>
      <c r="AL70" s="699">
        <v>0</v>
      </c>
      <c r="AM70" s="699">
        <v>0</v>
      </c>
      <c r="AN70" s="699">
        <v>0</v>
      </c>
      <c r="AO70" s="700">
        <v>0</v>
      </c>
      <c r="AP70" s="635"/>
      <c r="AQ70" s="698"/>
      <c r="AR70" s="699"/>
      <c r="AS70" s="699"/>
      <c r="AT70" s="699"/>
      <c r="AU70" s="699">
        <v>42166</v>
      </c>
      <c r="AV70" s="699">
        <v>41782</v>
      </c>
      <c r="AW70" s="699">
        <v>41782</v>
      </c>
      <c r="AX70" s="699">
        <v>41782</v>
      </c>
      <c r="AY70" s="699">
        <v>41782</v>
      </c>
      <c r="AZ70" s="699">
        <v>41782</v>
      </c>
      <c r="BA70" s="699">
        <v>41782</v>
      </c>
      <c r="BB70" s="699">
        <v>41773</v>
      </c>
      <c r="BC70" s="699">
        <v>41773</v>
      </c>
      <c r="BD70" s="699">
        <v>41773</v>
      </c>
      <c r="BE70" s="699">
        <v>38540</v>
      </c>
      <c r="BF70" s="699">
        <v>38400</v>
      </c>
      <c r="BG70" s="699">
        <v>38400</v>
      </c>
      <c r="BH70" s="699">
        <v>38267</v>
      </c>
      <c r="BI70" s="699">
        <v>38267</v>
      </c>
      <c r="BJ70" s="699">
        <v>38250</v>
      </c>
      <c r="BK70" s="699">
        <v>14297</v>
      </c>
      <c r="BL70" s="699">
        <v>14297</v>
      </c>
      <c r="BM70" s="699">
        <v>14297</v>
      </c>
      <c r="BN70" s="699">
        <v>14297</v>
      </c>
      <c r="BO70" s="699">
        <v>0</v>
      </c>
      <c r="BP70" s="699">
        <v>0</v>
      </c>
      <c r="BQ70" s="699">
        <v>0</v>
      </c>
      <c r="BR70" s="699">
        <v>0</v>
      </c>
      <c r="BS70" s="699">
        <v>0</v>
      </c>
      <c r="BT70" s="700">
        <v>0</v>
      </c>
    </row>
    <row r="71" spans="2:73">
      <c r="B71" s="694" t="s">
        <v>506</v>
      </c>
      <c r="C71" s="694" t="s">
        <v>698</v>
      </c>
      <c r="D71" s="694" t="s">
        <v>102</v>
      </c>
      <c r="E71" s="694" t="s">
        <v>684</v>
      </c>
      <c r="F71" s="694" t="s">
        <v>700</v>
      </c>
      <c r="G71" s="694" t="s">
        <v>701</v>
      </c>
      <c r="H71" s="694">
        <v>2015</v>
      </c>
      <c r="I71" s="646" t="s">
        <v>584</v>
      </c>
      <c r="J71" s="646" t="s">
        <v>598</v>
      </c>
      <c r="K71" s="635"/>
      <c r="L71" s="698"/>
      <c r="M71" s="699"/>
      <c r="N71" s="699"/>
      <c r="O71" s="699"/>
      <c r="P71" s="699">
        <v>13</v>
      </c>
      <c r="Q71" s="699">
        <v>11</v>
      </c>
      <c r="R71" s="699">
        <v>6</v>
      </c>
      <c r="S71" s="699">
        <v>6</v>
      </c>
      <c r="T71" s="699">
        <v>6</v>
      </c>
      <c r="U71" s="699">
        <v>6</v>
      </c>
      <c r="V71" s="699">
        <v>6</v>
      </c>
      <c r="W71" s="699">
        <v>6</v>
      </c>
      <c r="X71" s="699">
        <v>6</v>
      </c>
      <c r="Y71" s="699">
        <v>6</v>
      </c>
      <c r="Z71" s="699">
        <v>6</v>
      </c>
      <c r="AA71" s="699">
        <v>3</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c r="AR71" s="702"/>
      <c r="AS71" s="702"/>
      <c r="AT71" s="702"/>
      <c r="AU71" s="702">
        <v>52145</v>
      </c>
      <c r="AV71" s="702">
        <v>43452</v>
      </c>
      <c r="AW71" s="702">
        <v>26459</v>
      </c>
      <c r="AX71" s="702">
        <v>26114</v>
      </c>
      <c r="AY71" s="702">
        <v>26114</v>
      </c>
      <c r="AZ71" s="702">
        <v>26114</v>
      </c>
      <c r="BA71" s="702">
        <v>26114</v>
      </c>
      <c r="BB71" s="702">
        <v>26114</v>
      </c>
      <c r="BC71" s="702">
        <v>26114</v>
      </c>
      <c r="BD71" s="702">
        <v>26114</v>
      </c>
      <c r="BE71" s="702">
        <v>25640</v>
      </c>
      <c r="BF71" s="702">
        <v>11164</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506</v>
      </c>
      <c r="C72" s="694"/>
      <c r="D72" s="694" t="s">
        <v>101</v>
      </c>
      <c r="E72" s="694" t="s">
        <v>684</v>
      </c>
      <c r="F72" s="694" t="s">
        <v>700</v>
      </c>
      <c r="G72" s="694" t="s">
        <v>701</v>
      </c>
      <c r="H72" s="694">
        <v>2015</v>
      </c>
      <c r="I72" s="646" t="s">
        <v>584</v>
      </c>
      <c r="J72" s="646" t="s">
        <v>598</v>
      </c>
      <c r="K72" s="635"/>
      <c r="L72" s="698"/>
      <c r="M72" s="699"/>
      <c r="N72" s="699"/>
      <c r="O72" s="699"/>
      <c r="P72" s="699">
        <v>2</v>
      </c>
      <c r="Q72" s="699">
        <v>2</v>
      </c>
      <c r="R72" s="699">
        <v>2</v>
      </c>
      <c r="S72" s="699">
        <v>2</v>
      </c>
      <c r="T72" s="699">
        <v>2</v>
      </c>
      <c r="U72" s="699">
        <v>2</v>
      </c>
      <c r="V72" s="699">
        <v>2</v>
      </c>
      <c r="W72" s="699">
        <v>2</v>
      </c>
      <c r="X72" s="699">
        <v>2</v>
      </c>
      <c r="Y72" s="699">
        <v>2</v>
      </c>
      <c r="Z72" s="699">
        <v>1</v>
      </c>
      <c r="AA72" s="699">
        <v>0</v>
      </c>
      <c r="AB72" s="699">
        <v>0</v>
      </c>
      <c r="AC72" s="699">
        <v>0</v>
      </c>
      <c r="AD72" s="699">
        <v>0</v>
      </c>
      <c r="AE72" s="699">
        <v>0</v>
      </c>
      <c r="AF72" s="699">
        <v>0</v>
      </c>
      <c r="AG72" s="699">
        <v>0</v>
      </c>
      <c r="AH72" s="699">
        <v>0</v>
      </c>
      <c r="AI72" s="699">
        <v>0</v>
      </c>
      <c r="AJ72" s="699">
        <v>0</v>
      </c>
      <c r="AK72" s="699">
        <v>0</v>
      </c>
      <c r="AL72" s="699">
        <v>0</v>
      </c>
      <c r="AM72" s="699">
        <v>0</v>
      </c>
      <c r="AN72" s="699">
        <v>0</v>
      </c>
      <c r="AO72" s="700">
        <v>0</v>
      </c>
      <c r="AP72" s="635"/>
      <c r="AQ72" s="695"/>
      <c r="AR72" s="696"/>
      <c r="AS72" s="696"/>
      <c r="AT72" s="696"/>
      <c r="AU72" s="696">
        <v>392698</v>
      </c>
      <c r="AV72" s="696">
        <v>392698</v>
      </c>
      <c r="AW72" s="696">
        <v>392698</v>
      </c>
      <c r="AX72" s="696">
        <v>392698</v>
      </c>
      <c r="AY72" s="696">
        <v>392698</v>
      </c>
      <c r="AZ72" s="696">
        <v>392698</v>
      </c>
      <c r="BA72" s="696">
        <v>392698</v>
      </c>
      <c r="BB72" s="696">
        <v>392698</v>
      </c>
      <c r="BC72" s="696">
        <v>390349</v>
      </c>
      <c r="BD72" s="696">
        <v>389455</v>
      </c>
      <c r="BE72" s="696">
        <v>380903</v>
      </c>
      <c r="BF72" s="696">
        <v>374666</v>
      </c>
      <c r="BG72" s="696">
        <v>0</v>
      </c>
      <c r="BH72" s="696">
        <v>0</v>
      </c>
      <c r="BI72" s="696">
        <v>0</v>
      </c>
      <c r="BJ72" s="696">
        <v>0</v>
      </c>
      <c r="BK72" s="696">
        <v>0</v>
      </c>
      <c r="BL72" s="696">
        <v>0</v>
      </c>
      <c r="BM72" s="696">
        <v>0</v>
      </c>
      <c r="BN72" s="696">
        <v>0</v>
      </c>
      <c r="BO72" s="696">
        <v>0</v>
      </c>
      <c r="BP72" s="696">
        <v>0</v>
      </c>
      <c r="BQ72" s="696">
        <v>0</v>
      </c>
      <c r="BR72" s="696">
        <v>0</v>
      </c>
      <c r="BS72" s="696">
        <v>0</v>
      </c>
      <c r="BT72" s="697">
        <v>0</v>
      </c>
    </row>
    <row r="73" spans="2:73">
      <c r="B73" s="694" t="s">
        <v>506</v>
      </c>
      <c r="C73" s="694"/>
      <c r="D73" s="694" t="s">
        <v>100</v>
      </c>
      <c r="E73" s="694" t="s">
        <v>684</v>
      </c>
      <c r="F73" s="694" t="s">
        <v>700</v>
      </c>
      <c r="G73" s="694" t="s">
        <v>701</v>
      </c>
      <c r="H73" s="694">
        <v>2015</v>
      </c>
      <c r="I73" s="646" t="s">
        <v>584</v>
      </c>
      <c r="J73" s="646" t="s">
        <v>598</v>
      </c>
      <c r="K73" s="635"/>
      <c r="L73" s="698"/>
      <c r="M73" s="699"/>
      <c r="N73" s="699"/>
      <c r="O73" s="699"/>
      <c r="P73" s="699">
        <v>0</v>
      </c>
      <c r="Q73" s="699">
        <v>0</v>
      </c>
      <c r="R73" s="699">
        <v>0</v>
      </c>
      <c r="S73" s="699">
        <v>0</v>
      </c>
      <c r="T73" s="699">
        <v>0</v>
      </c>
      <c r="U73" s="699">
        <v>0</v>
      </c>
      <c r="V73" s="699">
        <v>0</v>
      </c>
      <c r="W73" s="699">
        <v>0</v>
      </c>
      <c r="X73" s="699">
        <v>0</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700">
        <v>0</v>
      </c>
      <c r="AP73" s="635"/>
      <c r="AQ73" s="698"/>
      <c r="AR73" s="699"/>
      <c r="AS73" s="699"/>
      <c r="AT73" s="699"/>
      <c r="AU73" s="699">
        <v>0</v>
      </c>
      <c r="AV73" s="699">
        <v>0</v>
      </c>
      <c r="AW73" s="699">
        <v>0</v>
      </c>
      <c r="AX73" s="699">
        <v>0</v>
      </c>
      <c r="AY73" s="699">
        <v>0</v>
      </c>
      <c r="AZ73" s="699">
        <v>0</v>
      </c>
      <c r="BA73" s="699">
        <v>0</v>
      </c>
      <c r="BB73" s="699">
        <v>0</v>
      </c>
      <c r="BC73" s="699">
        <v>0</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700">
        <v>0</v>
      </c>
    </row>
    <row r="74" spans="2:73">
      <c r="B74" s="694" t="s">
        <v>506</v>
      </c>
      <c r="C74" s="694" t="s">
        <v>697</v>
      </c>
      <c r="D74" s="694" t="s">
        <v>711</v>
      </c>
      <c r="E74" s="694" t="s">
        <v>684</v>
      </c>
      <c r="F74" s="694" t="s">
        <v>29</v>
      </c>
      <c r="G74" s="694" t="s">
        <v>701</v>
      </c>
      <c r="H74" s="694">
        <v>2015</v>
      </c>
      <c r="I74" s="646" t="s">
        <v>584</v>
      </c>
      <c r="J74" s="646" t="s">
        <v>598</v>
      </c>
      <c r="K74" s="635"/>
      <c r="L74" s="698"/>
      <c r="M74" s="699"/>
      <c r="N74" s="699"/>
      <c r="O74" s="699"/>
      <c r="P74" s="699">
        <v>0</v>
      </c>
      <c r="Q74" s="699">
        <v>0</v>
      </c>
      <c r="R74" s="699">
        <v>0</v>
      </c>
      <c r="S74" s="699">
        <v>0</v>
      </c>
      <c r="T74" s="699">
        <v>0</v>
      </c>
      <c r="U74" s="699">
        <v>0</v>
      </c>
      <c r="V74" s="699">
        <v>0</v>
      </c>
      <c r="W74" s="699">
        <v>0</v>
      </c>
      <c r="X74" s="699">
        <v>0</v>
      </c>
      <c r="Y74" s="699">
        <v>0</v>
      </c>
      <c r="Z74" s="699">
        <v>0</v>
      </c>
      <c r="AA74" s="699">
        <v>0</v>
      </c>
      <c r="AB74" s="699">
        <v>0</v>
      </c>
      <c r="AC74" s="699">
        <v>0</v>
      </c>
      <c r="AD74" s="699">
        <v>0</v>
      </c>
      <c r="AE74" s="699">
        <v>0</v>
      </c>
      <c r="AF74" s="699">
        <v>0</v>
      </c>
      <c r="AG74" s="699">
        <v>0</v>
      </c>
      <c r="AH74" s="699">
        <v>0</v>
      </c>
      <c r="AI74" s="699">
        <v>0</v>
      </c>
      <c r="AJ74" s="699">
        <v>0</v>
      </c>
      <c r="AK74" s="699">
        <v>0</v>
      </c>
      <c r="AL74" s="699">
        <v>0</v>
      </c>
      <c r="AM74" s="699">
        <v>0</v>
      </c>
      <c r="AN74" s="699">
        <v>0</v>
      </c>
      <c r="AO74" s="700">
        <v>0</v>
      </c>
      <c r="AP74" s="635"/>
      <c r="AQ74" s="698"/>
      <c r="AR74" s="699"/>
      <c r="AS74" s="699"/>
      <c r="AT74" s="699"/>
      <c r="AU74" s="699">
        <v>0</v>
      </c>
      <c r="AV74" s="699">
        <v>0</v>
      </c>
      <c r="AW74" s="699">
        <v>0</v>
      </c>
      <c r="AX74" s="699">
        <v>0</v>
      </c>
      <c r="AY74" s="699">
        <v>0</v>
      </c>
      <c r="AZ74" s="699">
        <v>0</v>
      </c>
      <c r="BA74" s="699">
        <v>0</v>
      </c>
      <c r="BB74" s="699">
        <v>0</v>
      </c>
      <c r="BC74" s="699">
        <v>0</v>
      </c>
      <c r="BD74" s="699">
        <v>0</v>
      </c>
      <c r="BE74" s="699">
        <v>0</v>
      </c>
      <c r="BF74" s="699">
        <v>0</v>
      </c>
      <c r="BG74" s="699">
        <v>0</v>
      </c>
      <c r="BH74" s="699">
        <v>0</v>
      </c>
      <c r="BI74" s="699">
        <v>0</v>
      </c>
      <c r="BJ74" s="699">
        <v>0</v>
      </c>
      <c r="BK74" s="699">
        <v>0</v>
      </c>
      <c r="BL74" s="699">
        <v>0</v>
      </c>
      <c r="BM74" s="699">
        <v>0</v>
      </c>
      <c r="BN74" s="699">
        <v>0</v>
      </c>
      <c r="BO74" s="699">
        <v>0</v>
      </c>
      <c r="BP74" s="699">
        <v>0</v>
      </c>
      <c r="BQ74" s="699">
        <v>0</v>
      </c>
      <c r="BR74" s="699">
        <v>0</v>
      </c>
      <c r="BS74" s="699">
        <v>0</v>
      </c>
      <c r="BT74" s="700">
        <v>0</v>
      </c>
    </row>
    <row r="75" spans="2:73">
      <c r="B75" s="694" t="s">
        <v>506</v>
      </c>
      <c r="C75" s="694" t="s">
        <v>697</v>
      </c>
      <c r="D75" s="694" t="s">
        <v>99</v>
      </c>
      <c r="E75" s="694" t="s">
        <v>684</v>
      </c>
      <c r="F75" s="694" t="s">
        <v>29</v>
      </c>
      <c r="G75" s="694" t="s">
        <v>701</v>
      </c>
      <c r="H75" s="694">
        <v>2015</v>
      </c>
      <c r="I75" s="646" t="s">
        <v>584</v>
      </c>
      <c r="J75" s="646" t="s">
        <v>598</v>
      </c>
      <c r="K75" s="635"/>
      <c r="L75" s="698"/>
      <c r="M75" s="699"/>
      <c r="N75" s="699"/>
      <c r="O75" s="699"/>
      <c r="P75" s="699">
        <v>0</v>
      </c>
      <c r="Q75" s="699">
        <v>0</v>
      </c>
      <c r="R75" s="699">
        <v>0</v>
      </c>
      <c r="S75" s="699">
        <v>0</v>
      </c>
      <c r="T75" s="699">
        <v>0</v>
      </c>
      <c r="U75" s="699">
        <v>0</v>
      </c>
      <c r="V75" s="699">
        <v>0</v>
      </c>
      <c r="W75" s="699">
        <v>0</v>
      </c>
      <c r="X75" s="699">
        <v>0</v>
      </c>
      <c r="Y75" s="699">
        <v>0</v>
      </c>
      <c r="Z75" s="699">
        <v>0</v>
      </c>
      <c r="AA75" s="699">
        <v>0</v>
      </c>
      <c r="AB75" s="699">
        <v>0</v>
      </c>
      <c r="AC75" s="699">
        <v>0</v>
      </c>
      <c r="AD75" s="699">
        <v>0</v>
      </c>
      <c r="AE75" s="699">
        <v>0</v>
      </c>
      <c r="AF75" s="699">
        <v>0</v>
      </c>
      <c r="AG75" s="699">
        <v>0</v>
      </c>
      <c r="AH75" s="699">
        <v>0</v>
      </c>
      <c r="AI75" s="699">
        <v>0</v>
      </c>
      <c r="AJ75" s="699">
        <v>0</v>
      </c>
      <c r="AK75" s="699">
        <v>0</v>
      </c>
      <c r="AL75" s="699">
        <v>0</v>
      </c>
      <c r="AM75" s="699">
        <v>0</v>
      </c>
      <c r="AN75" s="699">
        <v>0</v>
      </c>
      <c r="AO75" s="700">
        <v>0</v>
      </c>
      <c r="AP75" s="635"/>
      <c r="AQ75" s="698"/>
      <c r="AR75" s="699"/>
      <c r="AS75" s="699"/>
      <c r="AT75" s="699"/>
      <c r="AU75" s="699">
        <v>0</v>
      </c>
      <c r="AV75" s="699">
        <v>0</v>
      </c>
      <c r="AW75" s="699">
        <v>0</v>
      </c>
      <c r="AX75" s="699">
        <v>0</v>
      </c>
      <c r="AY75" s="699">
        <v>0</v>
      </c>
      <c r="AZ75" s="699">
        <v>0</v>
      </c>
      <c r="BA75" s="699">
        <v>0</v>
      </c>
      <c r="BB75" s="699">
        <v>0</v>
      </c>
      <c r="BC75" s="699">
        <v>0</v>
      </c>
      <c r="BD75" s="699">
        <v>0</v>
      </c>
      <c r="BE75" s="699">
        <v>0</v>
      </c>
      <c r="BF75" s="699">
        <v>0</v>
      </c>
      <c r="BG75" s="699">
        <v>0</v>
      </c>
      <c r="BH75" s="699">
        <v>0</v>
      </c>
      <c r="BI75" s="699">
        <v>0</v>
      </c>
      <c r="BJ75" s="699">
        <v>0</v>
      </c>
      <c r="BK75" s="699">
        <v>0</v>
      </c>
      <c r="BL75" s="699">
        <v>0</v>
      </c>
      <c r="BM75" s="699">
        <v>0</v>
      </c>
      <c r="BN75" s="699">
        <v>0</v>
      </c>
      <c r="BO75" s="699">
        <v>0</v>
      </c>
      <c r="BP75" s="699">
        <v>0</v>
      </c>
      <c r="BQ75" s="699">
        <v>0</v>
      </c>
      <c r="BR75" s="699">
        <v>0</v>
      </c>
      <c r="BS75" s="699">
        <v>0</v>
      </c>
      <c r="BT75" s="700">
        <v>0</v>
      </c>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sortState ref="C27:BT75">
      <sortCondition ref="H26"/>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6"/>
  <sheetViews>
    <sheetView zoomScaleNormal="100" workbookViewId="0">
      <selection activeCell="B16" sqref="B16"/>
    </sheetView>
  </sheetViews>
  <sheetFormatPr defaultColWidth="9.1796875" defaultRowHeight="14.5"/>
  <cols>
    <col min="1" max="16384" width="9.1796875" style="12"/>
  </cols>
  <sheetData>
    <row r="12" spans="2:22" ht="24" customHeight="1"/>
    <row r="13" spans="2:22" ht="15.5">
      <c r="B13" s="590" t="s">
        <v>508</v>
      </c>
    </row>
    <row r="14" spans="2:22" ht="15.5">
      <c r="B14" s="590"/>
    </row>
    <row r="15" spans="2:22" s="670" customFormat="1" ht="27" customHeight="1">
      <c r="B15" s="668" t="s">
        <v>683</v>
      </c>
      <c r="C15" s="669"/>
      <c r="D15" s="669"/>
      <c r="E15" s="669"/>
      <c r="F15" s="669"/>
      <c r="G15" s="669"/>
      <c r="H15" s="669"/>
      <c r="I15" s="669"/>
      <c r="J15" s="669"/>
      <c r="K15" s="669"/>
      <c r="L15" s="669"/>
      <c r="M15" s="669"/>
      <c r="N15" s="669"/>
      <c r="O15" s="669"/>
      <c r="P15" s="669"/>
      <c r="Q15" s="669"/>
      <c r="R15" s="669"/>
      <c r="S15" s="669"/>
      <c r="T15" s="669"/>
      <c r="U15" s="669"/>
      <c r="V15" s="669"/>
    </row>
    <row r="16" spans="2:22">
      <c r="B16" s="12" t="s">
        <v>724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LRAMVA Checklist Schematic</vt:lpstr>
      <vt:lpstr>DropDownList</vt:lpstr>
      <vt:lpstr>Instructions</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Rudra Mukherji</cp:lastModifiedBy>
  <cp:lastPrinted>2017-08-23T20:17:29Z</cp:lastPrinted>
  <dcterms:created xsi:type="dcterms:W3CDTF">2012-03-05T18:56:04Z</dcterms:created>
  <dcterms:modified xsi:type="dcterms:W3CDTF">2017-10-20T15:27:25Z</dcterms:modified>
</cp:coreProperties>
</file>