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ontarioenergyboard-my.sharepoint.com/personal/wanghe_oeb_ca/Documents/1-HW/2025 Applications/Policy Works/IESO MRP/2025 Final Updates/2025 Updates/"/>
    </mc:Choice>
  </mc:AlternateContent>
  <xr:revisionPtr revIDLastSave="1" documentId="8_{C37BADBB-CEC3-403D-8F5A-1211C05FACFD}" xr6:coauthVersionLast="47" xr6:coauthVersionMax="47" xr10:uidLastSave="{CB4229C4-37C9-43B6-94C1-9505B2C35127}"/>
  <bookViews>
    <workbookView xWindow="360" yWindow="360" windowWidth="19185" windowHeight="10185" tabRatio="744" xr2:uid="{591983D4-A000-409E-8B36-230AAD52D157}"/>
  </bookViews>
  <sheets>
    <sheet name="Summary of Updates" sheetId="24" r:id="rId1"/>
    <sheet name="Data for Settlement &amp; 1st TU" sheetId="10" r:id="rId2"/>
    <sheet name="RPP Settlement &amp; 1st TU" sheetId="11" r:id="rId3"/>
    <sheet name="Data for 2nd TU" sheetId="14" r:id="rId4"/>
    <sheet name="RPP 2nd TU" sheetId="13" r:id="rId5"/>
    <sheet name="RPP vs non-RPP TU JE" sheetId="18" r:id="rId6"/>
    <sheet name="Rate Application Related" sheetId="19" r:id="rId7"/>
    <sheet name="JEs" sheetId="9" r:id="rId8"/>
    <sheet name="Variances in ac 1588" sheetId="25" r:id="rId9"/>
    <sheet name="Final RSVA Balances" sheetId="21" r:id="rId10"/>
    <sheet name="T-Accounts" sheetId="22" r:id="rId11"/>
  </sheets>
  <definedNames>
    <definedName name="_xlnm.Print_Area" localSheetId="3">'Data for 2nd TU'!$A$1:$I$117</definedName>
    <definedName name="_xlnm.Print_Area" localSheetId="1">'Data for Settlement &amp; 1st TU'!$A$1:$I$119</definedName>
    <definedName name="_xlnm.Print_Area" localSheetId="7">JEs!$B$2:$E$172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21" l="1"/>
  <c r="O82" i="10" l="1"/>
  <c r="L81" i="14"/>
  <c r="I76" i="14"/>
  <c r="G102" i="10" l="1"/>
  <c r="G110" i="10" l="1"/>
  <c r="H40" i="10"/>
  <c r="D76" i="10"/>
  <c r="E38" i="21" l="1"/>
  <c r="D37" i="21"/>
  <c r="C37" i="21"/>
  <c r="D17" i="21"/>
  <c r="D16" i="21"/>
  <c r="B102" i="14"/>
  <c r="B110" i="14"/>
  <c r="K7" i="11"/>
  <c r="D9" i="14" l="1"/>
  <c r="D8" i="14"/>
  <c r="C9" i="14"/>
  <c r="H9" i="14" s="1"/>
  <c r="I9" i="14" s="1"/>
  <c r="C8" i="14"/>
  <c r="H8" i="14" s="1"/>
  <c r="I8" i="14" s="1"/>
  <c r="I10" i="10"/>
  <c r="H10" i="10"/>
  <c r="D10" i="10"/>
  <c r="C10" i="10"/>
  <c r="B19" i="19" l="1"/>
  <c r="E19" i="19" s="1"/>
  <c r="I103" i="10" l="1"/>
  <c r="B68" i="10" l="1"/>
  <c r="B58" i="14" l="1"/>
  <c r="G58" i="14" s="1"/>
  <c r="D34" i="10"/>
  <c r="C103" i="10" s="1"/>
  <c r="B103" i="10" s="1"/>
  <c r="B110" i="10" s="1"/>
  <c r="B96" i="10"/>
  <c r="I6" i="10"/>
  <c r="H73" i="10" s="1"/>
  <c r="D5" i="10"/>
  <c r="C68" i="10" s="1"/>
  <c r="D68" i="10" s="1"/>
  <c r="B86" i="10"/>
  <c r="H33" i="10"/>
  <c r="B70" i="10"/>
  <c r="G40" i="14"/>
  <c r="G57" i="10"/>
  <c r="G56" i="10"/>
  <c r="G48" i="10"/>
  <c r="I47" i="10"/>
  <c r="I34" i="10" l="1"/>
  <c r="H103" i="10" s="1"/>
  <c r="I40" i="10" l="1"/>
  <c r="G40" i="10"/>
  <c r="J65" i="22" l="1"/>
  <c r="J64" i="22"/>
  <c r="J63" i="22"/>
  <c r="J54" i="22"/>
  <c r="J52" i="22"/>
  <c r="J51" i="22"/>
  <c r="J48" i="22"/>
  <c r="J46" i="22"/>
  <c r="J47" i="22" s="1"/>
  <c r="J44" i="22"/>
  <c r="J45" i="22" s="1"/>
  <c r="J41" i="22"/>
  <c r="J38" i="22"/>
  <c r="J39" i="22" s="1"/>
  <c r="J17" i="22"/>
  <c r="J14" i="22"/>
  <c r="J11" i="22"/>
  <c r="J12" i="22" s="1"/>
  <c r="J9" i="22"/>
  <c r="J10" i="22" s="1"/>
  <c r="J5" i="22"/>
  <c r="J6" i="22" s="1"/>
  <c r="A24" i="22"/>
  <c r="A19" i="22"/>
  <c r="A20" i="22" s="1"/>
  <c r="A21" i="22" s="1"/>
  <c r="A22" i="22" s="1"/>
  <c r="A23" i="22" s="1"/>
  <c r="A14" i="22"/>
  <c r="A15" i="22" s="1"/>
  <c r="A16" i="22" s="1"/>
  <c r="A17" i="22" s="1"/>
  <c r="A18" i="22" s="1"/>
  <c r="A5" i="22"/>
  <c r="A6" i="22" s="1"/>
  <c r="A7" i="22" s="1"/>
  <c r="A8" i="22" s="1"/>
  <c r="A9" i="22" s="1"/>
  <c r="A65" i="22"/>
  <c r="A64" i="22"/>
  <c r="A63" i="22"/>
  <c r="A55" i="22"/>
  <c r="A56" i="22" s="1"/>
  <c r="A53" i="22"/>
  <c r="A54" i="22" s="1"/>
  <c r="A49" i="22"/>
  <c r="A50" i="22" s="1"/>
  <c r="A47" i="22"/>
  <c r="A48" i="22" s="1"/>
  <c r="A45" i="22"/>
  <c r="A46" i="22" s="1"/>
  <c r="A41" i="22"/>
  <c r="A38" i="22"/>
  <c r="A39" i="22" s="1"/>
  <c r="A32" i="22"/>
  <c r="A30" i="22"/>
  <c r="A29" i="22"/>
  <c r="A26" i="22"/>
  <c r="B49" i="10"/>
  <c r="D95" i="10" l="1"/>
  <c r="B20" i="10"/>
  <c r="B21" i="10"/>
  <c r="B22" i="10"/>
  <c r="B23" i="10"/>
  <c r="B24" i="10"/>
  <c r="B25" i="10"/>
  <c r="B26" i="10"/>
  <c r="G48" i="14" l="1"/>
  <c r="H48" i="14" s="1"/>
  <c r="G45" i="14"/>
  <c r="G23" i="14" s="1"/>
  <c r="G46" i="14"/>
  <c r="G24" i="14" s="1"/>
  <c r="G47" i="14"/>
  <c r="G25" i="14" s="1"/>
  <c r="G44" i="14"/>
  <c r="G43" i="14"/>
  <c r="G42" i="14"/>
  <c r="G41" i="14"/>
  <c r="H47" i="14" l="1"/>
  <c r="H46" i="14"/>
  <c r="H45" i="14"/>
  <c r="G26" i="14"/>
  <c r="G49" i="14"/>
  <c r="H88" i="14" l="1"/>
  <c r="H87" i="14"/>
  <c r="H86" i="14"/>
  <c r="H89" i="14"/>
  <c r="I46" i="10"/>
  <c r="N46" i="10" s="1"/>
  <c r="L87" i="10" s="1"/>
  <c r="I45" i="10"/>
  <c r="D45" i="14" s="1"/>
  <c r="I48" i="10"/>
  <c r="D48" i="14" s="1"/>
  <c r="D46" i="14" l="1"/>
  <c r="B13" i="13" s="1"/>
  <c r="B89" i="14"/>
  <c r="B15" i="13"/>
  <c r="I48" i="14"/>
  <c r="B30" i="13" s="1"/>
  <c r="G89" i="14"/>
  <c r="I89" i="14" s="1"/>
  <c r="B12" i="13"/>
  <c r="I45" i="14"/>
  <c r="B27" i="13" s="1"/>
  <c r="G86" i="14"/>
  <c r="I86" i="14" s="1"/>
  <c r="B86" i="14"/>
  <c r="N48" i="10"/>
  <c r="L89" i="10" s="1"/>
  <c r="N45" i="10"/>
  <c r="L86" i="10" s="1"/>
  <c r="B30" i="11"/>
  <c r="B27" i="11"/>
  <c r="B28" i="11"/>
  <c r="B14" i="11"/>
  <c r="D14" i="11"/>
  <c r="B13" i="11"/>
  <c r="D13" i="11"/>
  <c r="B12" i="11"/>
  <c r="D12" i="11"/>
  <c r="B15" i="11"/>
  <c r="D15" i="11"/>
  <c r="G87" i="14" l="1"/>
  <c r="I87" i="14" s="1"/>
  <c r="B45" i="11"/>
  <c r="B87" i="14"/>
  <c r="I46" i="14"/>
  <c r="B28" i="13" s="1"/>
  <c r="B43" i="13" s="1"/>
  <c r="B43" i="11"/>
  <c r="B45" i="13"/>
  <c r="B42" i="13"/>
  <c r="B42" i="11"/>
  <c r="B87" i="10" l="1"/>
  <c r="G87" i="10" s="1"/>
  <c r="G86" i="10"/>
  <c r="B89" i="10"/>
  <c r="G89" i="10" s="1"/>
  <c r="B88" i="10"/>
  <c r="G88" i="10" s="1"/>
  <c r="N47" i="10" l="1"/>
  <c r="L88" i="10" s="1"/>
  <c r="B29" i="11"/>
  <c r="D47" i="14"/>
  <c r="H41" i="14"/>
  <c r="H42" i="14"/>
  <c r="H43" i="14"/>
  <c r="H44" i="14"/>
  <c r="H40" i="14"/>
  <c r="H49" i="14" l="1"/>
  <c r="B44" i="11"/>
  <c r="B14" i="13"/>
  <c r="I47" i="14"/>
  <c r="B29" i="13" s="1"/>
  <c r="G88" i="14"/>
  <c r="I88" i="14" s="1"/>
  <c r="B88" i="14"/>
  <c r="D103" i="14"/>
  <c r="O18" i="22"/>
  <c r="B44" i="13" l="1"/>
  <c r="D70" i="9"/>
  <c r="D20" i="22" s="1"/>
  <c r="D71" i="9"/>
  <c r="M11" i="22" s="1"/>
  <c r="D104" i="10" l="1"/>
  <c r="C6" i="14" l="1"/>
  <c r="D6" i="14" s="1"/>
  <c r="C73" i="14" s="1"/>
  <c r="C7" i="14"/>
  <c r="H7" i="14" s="1"/>
  <c r="C67" i="14" l="1"/>
  <c r="C7" i="21"/>
  <c r="C16" i="21"/>
  <c r="I34" i="14"/>
  <c r="D6" i="10"/>
  <c r="C73" i="10" s="1"/>
  <c r="B73" i="10" s="1"/>
  <c r="H67" i="10" l="1"/>
  <c r="G67" i="10" s="1"/>
  <c r="C67" i="10"/>
  <c r="E75" i="9" l="1"/>
  <c r="F23" i="22" s="1"/>
  <c r="G73" i="10"/>
  <c r="B73" i="14" s="1"/>
  <c r="G73" i="14" s="1"/>
  <c r="E11" i="9"/>
  <c r="D42" i="9" s="1"/>
  <c r="D15" i="22" s="1"/>
  <c r="D43" i="19"/>
  <c r="E43" i="19"/>
  <c r="C25" i="21"/>
  <c r="F9" i="22" l="1"/>
  <c r="D73" i="14"/>
  <c r="C8" i="21"/>
  <c r="B8" i="21"/>
  <c r="B6" i="21"/>
  <c r="D8" i="9"/>
  <c r="I33" i="14"/>
  <c r="H102" i="14" s="1"/>
  <c r="D69" i="14"/>
  <c r="D95" i="14" s="1"/>
  <c r="B8" i="11"/>
  <c r="B9" i="11"/>
  <c r="B10" i="11"/>
  <c r="B11" i="11"/>
  <c r="B7" i="11"/>
  <c r="B82" i="10"/>
  <c r="B83" i="10"/>
  <c r="B84" i="10"/>
  <c r="B85" i="10"/>
  <c r="B81" i="10"/>
  <c r="E47" i="9" l="1"/>
  <c r="O9" i="22" s="1"/>
  <c r="M5" i="22"/>
  <c r="C6" i="21"/>
  <c r="B9" i="21"/>
  <c r="I69" i="14"/>
  <c r="I95" i="14" s="1"/>
  <c r="I95" i="10"/>
  <c r="N95" i="10" s="1"/>
  <c r="O95" i="10" s="1"/>
  <c r="G41" i="10"/>
  <c r="L41" i="10" s="1"/>
  <c r="I5" i="10"/>
  <c r="B55" i="10"/>
  <c r="B94" i="10" s="1"/>
  <c r="H68" i="10" l="1"/>
  <c r="G68" i="10" s="1"/>
  <c r="E96" i="9"/>
  <c r="O46" i="22" s="1"/>
  <c r="K95" i="14"/>
  <c r="L95" i="14" s="1"/>
  <c r="G7" i="21"/>
  <c r="E23" i="21"/>
  <c r="H34" i="10"/>
  <c r="E23" i="9"/>
  <c r="O38" i="22" s="1"/>
  <c r="C94" i="10"/>
  <c r="G19" i="14"/>
  <c r="G20" i="14"/>
  <c r="G21" i="14"/>
  <c r="G22" i="14"/>
  <c r="G18" i="14"/>
  <c r="H35" i="14"/>
  <c r="H31" i="14" s="1"/>
  <c r="G19" i="10"/>
  <c r="B19" i="10"/>
  <c r="G27" i="14" l="1"/>
  <c r="N34" i="10"/>
  <c r="M94" i="10" s="1"/>
  <c r="C34" i="14"/>
  <c r="D34" i="14" s="1"/>
  <c r="M34" i="10"/>
  <c r="D31" i="10"/>
  <c r="D59" i="9"/>
  <c r="M44" i="22" s="1"/>
  <c r="G33" i="14"/>
  <c r="G103" i="10"/>
  <c r="H94" i="10"/>
  <c r="G34" i="14"/>
  <c r="G55" i="10" l="1"/>
  <c r="M96" i="10"/>
  <c r="G35" i="14"/>
  <c r="D7" i="11" l="1"/>
  <c r="C5" i="14" l="1"/>
  <c r="C10" i="14" s="1"/>
  <c r="D5" i="14" l="1"/>
  <c r="D10" i="14" s="1"/>
  <c r="H6" i="14"/>
  <c r="I6" i="14" s="1"/>
  <c r="H73" i="14" s="1"/>
  <c r="I73" i="14" s="1"/>
  <c r="C103" i="14"/>
  <c r="B103" i="14" s="1"/>
  <c r="B55" i="14" s="1"/>
  <c r="D8" i="11"/>
  <c r="D9" i="11"/>
  <c r="D10" i="11"/>
  <c r="D11" i="11"/>
  <c r="H67" i="14" l="1"/>
  <c r="F15" i="25" s="1"/>
  <c r="C68" i="14"/>
  <c r="H103" i="14"/>
  <c r="H104" i="14" s="1"/>
  <c r="C9" i="21"/>
  <c r="H94" i="14"/>
  <c r="C94" i="14"/>
  <c r="B68" i="14"/>
  <c r="G68" i="14" s="1"/>
  <c r="B41" i="14"/>
  <c r="C96" i="14"/>
  <c r="H96" i="14"/>
  <c r="B57" i="14"/>
  <c r="G57" i="14" s="1"/>
  <c r="B56" i="14"/>
  <c r="I41" i="10"/>
  <c r="I42" i="10"/>
  <c r="I43" i="10"/>
  <c r="I44" i="10"/>
  <c r="N40" i="10"/>
  <c r="L81" i="10" s="1"/>
  <c r="B71" i="10"/>
  <c r="G56" i="14" l="1"/>
  <c r="B96" i="14"/>
  <c r="D96" i="14" s="1"/>
  <c r="B19" i="14"/>
  <c r="G103" i="14"/>
  <c r="C8" i="25" s="1"/>
  <c r="B24" i="11"/>
  <c r="B39" i="11" s="1"/>
  <c r="N42" i="10"/>
  <c r="L83" i="10" s="1"/>
  <c r="B23" i="11"/>
  <c r="B38" i="11" s="1"/>
  <c r="N41" i="10"/>
  <c r="L82" i="10" s="1"/>
  <c r="B26" i="11"/>
  <c r="B41" i="11" s="1"/>
  <c r="N44" i="10"/>
  <c r="L85" i="10" s="1"/>
  <c r="B25" i="11"/>
  <c r="B40" i="11" s="1"/>
  <c r="N43" i="10"/>
  <c r="L84" i="10" s="1"/>
  <c r="I35" i="14"/>
  <c r="I31" i="14" s="1"/>
  <c r="B22" i="11"/>
  <c r="B37" i="11" s="1"/>
  <c r="G96" i="10"/>
  <c r="L96" i="10" s="1"/>
  <c r="G82" i="10"/>
  <c r="H5" i="14"/>
  <c r="H10" i="14" s="1"/>
  <c r="D40" i="14"/>
  <c r="G85" i="10"/>
  <c r="G81" i="10"/>
  <c r="G83" i="10"/>
  <c r="G84" i="10"/>
  <c r="D42" i="14"/>
  <c r="B9" i="13" s="1"/>
  <c r="D41" i="14"/>
  <c r="B8" i="13" s="1"/>
  <c r="D43" i="14"/>
  <c r="B10" i="13" s="1"/>
  <c r="D44" i="14"/>
  <c r="B11" i="13" s="1"/>
  <c r="H83" i="14"/>
  <c r="H85" i="14"/>
  <c r="H82" i="14"/>
  <c r="H84" i="14"/>
  <c r="C96" i="10"/>
  <c r="D96" i="10" s="1"/>
  <c r="E24" i="9" s="1"/>
  <c r="O39" i="22" s="1"/>
  <c r="O40" i="22" s="1"/>
  <c r="O42" i="22" s="1"/>
  <c r="H96" i="10"/>
  <c r="F8" i="21" l="1"/>
  <c r="D47" i="21" s="1"/>
  <c r="F19" i="19"/>
  <c r="G19" i="19" s="1"/>
  <c r="G55" i="14"/>
  <c r="P40" i="22"/>
  <c r="D60" i="9"/>
  <c r="M45" i="22" s="1"/>
  <c r="M49" i="22" s="1"/>
  <c r="G96" i="14"/>
  <c r="I96" i="14" s="1"/>
  <c r="I5" i="14"/>
  <c r="I10" i="14" s="1"/>
  <c r="G81" i="14"/>
  <c r="B7" i="13"/>
  <c r="G12" i="14"/>
  <c r="H12" i="14" s="1"/>
  <c r="G13" i="14"/>
  <c r="I96" i="10"/>
  <c r="N96" i="10" s="1"/>
  <c r="O96" i="10" s="1"/>
  <c r="B81" i="14"/>
  <c r="I40" i="14"/>
  <c r="B22" i="13" s="1"/>
  <c r="B85" i="14"/>
  <c r="G85" i="14"/>
  <c r="I85" i="14" s="1"/>
  <c r="I44" i="14"/>
  <c r="B26" i="13" s="1"/>
  <c r="G82" i="14"/>
  <c r="I82" i="14" s="1"/>
  <c r="I41" i="14"/>
  <c r="B23" i="13" s="1"/>
  <c r="B38" i="13" s="1"/>
  <c r="B82" i="14"/>
  <c r="G84" i="14"/>
  <c r="I84" i="14" s="1"/>
  <c r="I43" i="14"/>
  <c r="B25" i="13" s="1"/>
  <c r="B84" i="14"/>
  <c r="G83" i="14"/>
  <c r="I83" i="14" s="1"/>
  <c r="I42" i="14"/>
  <c r="B24" i="13" s="1"/>
  <c r="B83" i="14"/>
  <c r="H81" i="14"/>
  <c r="H90" i="14" s="1"/>
  <c r="G94" i="14" l="1"/>
  <c r="H68" i="14"/>
  <c r="E97" i="9"/>
  <c r="O47" i="22" s="1"/>
  <c r="K96" i="14"/>
  <c r="L96" i="14" s="1"/>
  <c r="E141" i="9" s="1"/>
  <c r="O52" i="22" s="1"/>
  <c r="O53" i="22" s="1"/>
  <c r="O55" i="22" s="1"/>
  <c r="P96" i="10"/>
  <c r="E108" i="9" s="1"/>
  <c r="O48" i="22" s="1"/>
  <c r="F6" i="19"/>
  <c r="F43" i="19" s="1"/>
  <c r="G8" i="21"/>
  <c r="G9" i="21" s="1"/>
  <c r="H13" i="14"/>
  <c r="G14" i="14"/>
  <c r="B37" i="13"/>
  <c r="B39" i="13"/>
  <c r="B40" i="13"/>
  <c r="B41" i="13"/>
  <c r="I81" i="14"/>
  <c r="I90" i="14" s="1"/>
  <c r="I13" i="14" l="1"/>
  <c r="H24" i="14"/>
  <c r="G28" i="13" s="1"/>
  <c r="H23" i="14"/>
  <c r="G27" i="13" s="1"/>
  <c r="H26" i="14"/>
  <c r="G30" i="13" s="1"/>
  <c r="H25" i="14"/>
  <c r="G29" i="13" s="1"/>
  <c r="B15" i="21"/>
  <c r="H21" i="14"/>
  <c r="H22" i="14"/>
  <c r="H19" i="14"/>
  <c r="H18" i="14"/>
  <c r="H20" i="14"/>
  <c r="O49" i="22"/>
  <c r="P49" i="22" s="1"/>
  <c r="D129" i="9"/>
  <c r="M51" i="22" s="1"/>
  <c r="M53" i="22" s="1"/>
  <c r="F7" i="18"/>
  <c r="B17" i="21"/>
  <c r="B24" i="21" s="1"/>
  <c r="H71" i="14"/>
  <c r="H70" i="14"/>
  <c r="I12" i="14"/>
  <c r="H109" i="14" s="1"/>
  <c r="F6" i="18"/>
  <c r="H14" i="14"/>
  <c r="H110" i="14" l="1"/>
  <c r="C17" i="21"/>
  <c r="G25" i="13"/>
  <c r="H29" i="13"/>
  <c r="H27" i="13"/>
  <c r="H30" i="13"/>
  <c r="H27" i="14"/>
  <c r="H28" i="13"/>
  <c r="B25" i="21"/>
  <c r="C46" i="21"/>
  <c r="C47" i="21"/>
  <c r="E47" i="21" s="1"/>
  <c r="C36" i="21"/>
  <c r="C35" i="21"/>
  <c r="P53" i="22"/>
  <c r="B18" i="21"/>
  <c r="I14" i="14"/>
  <c r="C15" i="21"/>
  <c r="F8" i="18"/>
  <c r="G7" i="18" s="1"/>
  <c r="G22" i="13"/>
  <c r="G23" i="13"/>
  <c r="H23" i="13" s="1"/>
  <c r="G26" i="13"/>
  <c r="H26" i="13" s="1"/>
  <c r="G24" i="13"/>
  <c r="H24" i="13" s="1"/>
  <c r="D94" i="10"/>
  <c r="H111" i="14" l="1"/>
  <c r="F8" i="25"/>
  <c r="H25" i="13"/>
  <c r="G31" i="13"/>
  <c r="C34" i="21"/>
  <c r="C33" i="21"/>
  <c r="G94" i="10"/>
  <c r="D6" i="9"/>
  <c r="C18" i="21"/>
  <c r="G6" i="18"/>
  <c r="D97" i="10"/>
  <c r="H22" i="13"/>
  <c r="H31" i="13" l="1"/>
  <c r="B31" i="13" s="1"/>
  <c r="D6" i="21" s="1"/>
  <c r="D34" i="21" s="1"/>
  <c r="E34" i="21" s="1"/>
  <c r="E45" i="9"/>
  <c r="F17" i="22" s="1"/>
  <c r="D6" i="22"/>
  <c r="I94" i="10"/>
  <c r="I97" i="10" s="1"/>
  <c r="L94" i="10"/>
  <c r="N94" i="10" s="1"/>
  <c r="G8" i="18"/>
  <c r="E22" i="9"/>
  <c r="F39" i="22" s="1"/>
  <c r="D68" i="14"/>
  <c r="O94" i="10" l="1"/>
  <c r="N97" i="10"/>
  <c r="D58" i="9"/>
  <c r="D46" i="22" s="1"/>
  <c r="D7" i="21"/>
  <c r="D36" i="21" s="1"/>
  <c r="D8" i="21"/>
  <c r="E6" i="21"/>
  <c r="I68" i="14"/>
  <c r="P94" i="10" l="1"/>
  <c r="E107" i="9" s="1"/>
  <c r="F50" i="22" s="1"/>
  <c r="K94" i="14"/>
  <c r="K97" i="14" s="1"/>
  <c r="E95" i="9"/>
  <c r="F48" i="22" s="1"/>
  <c r="O97" i="10"/>
  <c r="D128" i="9" l="1"/>
  <c r="D54" i="22" s="1"/>
  <c r="P97" i="10"/>
  <c r="D35" i="21"/>
  <c r="E35" i="21" s="1"/>
  <c r="B18" i="10" l="1"/>
  <c r="L40" i="10" l="1"/>
  <c r="B40" i="14"/>
  <c r="G18" i="10"/>
  <c r="B18" i="14" l="1"/>
  <c r="I94" i="14" l="1"/>
  <c r="L94" i="14" l="1"/>
  <c r="E16" i="21"/>
  <c r="E8" i="21"/>
  <c r="I97" i="14"/>
  <c r="I16" i="21" l="1"/>
  <c r="E140" i="9"/>
  <c r="L97" i="14"/>
  <c r="E7" i="21"/>
  <c r="E36" i="21"/>
  <c r="E9" i="21" l="1"/>
  <c r="F56" i="22"/>
  <c r="B94" i="14" l="1"/>
  <c r="D94" i="14" s="1"/>
  <c r="D97" i="14" l="1"/>
  <c r="B67" i="14" l="1"/>
  <c r="G67" i="14" s="1"/>
  <c r="I67" i="14" s="1"/>
  <c r="C15" i="25" s="1"/>
  <c r="D69" i="9"/>
  <c r="D15" i="25" l="1"/>
  <c r="E15" i="25" s="1"/>
  <c r="G15" i="25" s="1"/>
  <c r="D19" i="22"/>
  <c r="D67" i="14"/>
  <c r="G43" i="10" l="1"/>
  <c r="G45" i="10"/>
  <c r="G46" i="10"/>
  <c r="B46" i="14" s="1"/>
  <c r="B27" i="10"/>
  <c r="G47" i="10"/>
  <c r="G44" i="10"/>
  <c r="G21" i="10" l="1"/>
  <c r="B43" i="14"/>
  <c r="L43" i="10"/>
  <c r="B45" i="14"/>
  <c r="L45" i="10"/>
  <c r="G23" i="10"/>
  <c r="B48" i="14"/>
  <c r="G26" i="10"/>
  <c r="L48" i="10"/>
  <c r="L44" i="10"/>
  <c r="B44" i="14"/>
  <c r="G22" i="10"/>
  <c r="L47" i="10"/>
  <c r="B47" i="14"/>
  <c r="G25" i="10"/>
  <c r="B24" i="14"/>
  <c r="G42" i="10"/>
  <c r="L46" i="10"/>
  <c r="G24" i="10"/>
  <c r="B23" i="14" l="1"/>
  <c r="B22" i="14"/>
  <c r="B21" i="14"/>
  <c r="B25" i="14"/>
  <c r="B42" i="14"/>
  <c r="G20" i="10"/>
  <c r="L42" i="10"/>
  <c r="G49" i="10"/>
  <c r="B26" i="14"/>
  <c r="L49" i="10" l="1"/>
  <c r="B20" i="14"/>
  <c r="B49" i="14"/>
  <c r="G27" i="10"/>
  <c r="B27" i="14" l="1"/>
  <c r="C45" i="10"/>
  <c r="C86" i="10" s="1"/>
  <c r="D86" i="10" s="1"/>
  <c r="C42" i="10"/>
  <c r="C83" i="10" s="1"/>
  <c r="D83" i="10" s="1"/>
  <c r="C47" i="10"/>
  <c r="C88" i="10" s="1"/>
  <c r="D88" i="10" s="1"/>
  <c r="C43" i="10"/>
  <c r="C84" i="10" s="1"/>
  <c r="D84" i="10" s="1"/>
  <c r="D33" i="10"/>
  <c r="D35" i="10" s="1"/>
  <c r="C40" i="10"/>
  <c r="C81" i="10" s="1"/>
  <c r="C44" i="10"/>
  <c r="C85" i="10" s="1"/>
  <c r="D85" i="10" s="1"/>
  <c r="C46" i="10"/>
  <c r="C87" i="10" s="1"/>
  <c r="D87" i="10" s="1"/>
  <c r="C48" i="10"/>
  <c r="C89" i="10" s="1"/>
  <c r="D89" i="10" s="1"/>
  <c r="C41" i="10"/>
  <c r="C82" i="10" s="1"/>
  <c r="D82" i="10" s="1"/>
  <c r="H41" i="10"/>
  <c r="H82" i="10" s="1"/>
  <c r="I82" i="10" s="1"/>
  <c r="C35" i="10"/>
  <c r="B34" i="10" s="1"/>
  <c r="B13" i="10" s="1"/>
  <c r="C13" i="10" s="1"/>
  <c r="C102" i="10" l="1"/>
  <c r="B102" i="10" s="1"/>
  <c r="B54" i="10" s="1"/>
  <c r="C31" i="10"/>
  <c r="M46" i="10"/>
  <c r="M87" i="10" s="1"/>
  <c r="N87" i="10" s="1"/>
  <c r="O87" i="10" s="1"/>
  <c r="K87" i="14" s="1"/>
  <c r="L87" i="14" s="1"/>
  <c r="H81" i="10"/>
  <c r="I81" i="10" s="1"/>
  <c r="C49" i="10"/>
  <c r="H35" i="10"/>
  <c r="H48" i="10"/>
  <c r="H89" i="10" s="1"/>
  <c r="I89" i="10" s="1"/>
  <c r="C71" i="10"/>
  <c r="D71" i="10" s="1"/>
  <c r="D13" i="10"/>
  <c r="C110" i="10" s="1"/>
  <c r="D110" i="10" s="1"/>
  <c r="D81" i="10"/>
  <c r="D90" i="10" s="1"/>
  <c r="C90" i="10"/>
  <c r="C104" i="10"/>
  <c r="B104" i="10" s="1"/>
  <c r="H44" i="10"/>
  <c r="H85" i="10" s="1"/>
  <c r="I85" i="10" s="1"/>
  <c r="H46" i="10"/>
  <c r="H87" i="10" s="1"/>
  <c r="I87" i="10" s="1"/>
  <c r="M48" i="10"/>
  <c r="M89" i="10" s="1"/>
  <c r="N89" i="10" s="1"/>
  <c r="O89" i="10" s="1"/>
  <c r="M42" i="10"/>
  <c r="M83" i="10" s="1"/>
  <c r="N83" i="10" s="1"/>
  <c r="O83" i="10" s="1"/>
  <c r="I33" i="10"/>
  <c r="H102" i="10" s="1"/>
  <c r="H47" i="10"/>
  <c r="H88" i="10" s="1"/>
  <c r="I88" i="10" s="1"/>
  <c r="C33" i="14"/>
  <c r="M43" i="10"/>
  <c r="M84" i="10" s="1"/>
  <c r="N84" i="10" s="1"/>
  <c r="O84" i="10" s="1"/>
  <c r="M33" i="10"/>
  <c r="M40" i="10"/>
  <c r="M44" i="10"/>
  <c r="M85" i="10" s="1"/>
  <c r="N85" i="10" s="1"/>
  <c r="O85" i="10" s="1"/>
  <c r="M45" i="10"/>
  <c r="M86" i="10" s="1"/>
  <c r="N86" i="10" s="1"/>
  <c r="O86" i="10" s="1"/>
  <c r="H43" i="10"/>
  <c r="H84" i="10" s="1"/>
  <c r="I84" i="10" s="1"/>
  <c r="M41" i="10"/>
  <c r="M82" i="10" s="1"/>
  <c r="N82" i="10" s="1"/>
  <c r="H45" i="10"/>
  <c r="H86" i="10" s="1"/>
  <c r="I86" i="10" s="1"/>
  <c r="M47" i="10"/>
  <c r="M88" i="10" s="1"/>
  <c r="N88" i="10" s="1"/>
  <c r="O88" i="10" s="1"/>
  <c r="B33" i="10"/>
  <c r="H42" i="10"/>
  <c r="H83" i="10" s="1"/>
  <c r="I83" i="10" s="1"/>
  <c r="D109" i="10" l="1"/>
  <c r="D111" i="10" s="1"/>
  <c r="P87" i="10"/>
  <c r="H31" i="10"/>
  <c r="C31" i="14" s="1"/>
  <c r="G33" i="10"/>
  <c r="G12" i="10" s="1"/>
  <c r="H12" i="10" s="1"/>
  <c r="I12" i="10" s="1"/>
  <c r="H109" i="10" s="1"/>
  <c r="G34" i="10"/>
  <c r="G13" i="10" s="1"/>
  <c r="H13" i="10" s="1"/>
  <c r="I90" i="10"/>
  <c r="H49" i="10"/>
  <c r="P85" i="10"/>
  <c r="K85" i="14"/>
  <c r="L85" i="14" s="1"/>
  <c r="M81" i="10"/>
  <c r="M49" i="10"/>
  <c r="M35" i="10"/>
  <c r="L33" i="10" s="1"/>
  <c r="C12" i="11"/>
  <c r="C9" i="11"/>
  <c r="C11" i="11"/>
  <c r="C15" i="11"/>
  <c r="C8" i="11"/>
  <c r="C13" i="11"/>
  <c r="C10" i="11"/>
  <c r="C7" i="11"/>
  <c r="C14" i="11"/>
  <c r="B12" i="10"/>
  <c r="B35" i="10"/>
  <c r="C35" i="14"/>
  <c r="B34" i="14" s="1"/>
  <c r="B13" i="14" s="1"/>
  <c r="C13" i="14" s="1"/>
  <c r="C7" i="18" s="1"/>
  <c r="C43" i="14"/>
  <c r="C84" i="14" s="1"/>
  <c r="D84" i="14" s="1"/>
  <c r="D33" i="14"/>
  <c r="C41" i="14"/>
  <c r="C82" i="14" s="1"/>
  <c r="D82" i="14" s="1"/>
  <c r="C48" i="14"/>
  <c r="C89" i="14" s="1"/>
  <c r="D89" i="14" s="1"/>
  <c r="C45" i="14"/>
  <c r="C86" i="14" s="1"/>
  <c r="D86" i="14" s="1"/>
  <c r="C47" i="14"/>
  <c r="C88" i="14" s="1"/>
  <c r="D88" i="14" s="1"/>
  <c r="C42" i="14"/>
  <c r="C83" i="14" s="1"/>
  <c r="D83" i="14" s="1"/>
  <c r="C40" i="14"/>
  <c r="C44" i="14"/>
  <c r="C85" i="14" s="1"/>
  <c r="D85" i="14" s="1"/>
  <c r="C46" i="14"/>
  <c r="C87" i="14" s="1"/>
  <c r="D87" i="14" s="1"/>
  <c r="H90" i="10"/>
  <c r="K84" i="14"/>
  <c r="L84" i="14" s="1"/>
  <c r="P84" i="10"/>
  <c r="E21" i="9"/>
  <c r="P89" i="10"/>
  <c r="K89" i="14"/>
  <c r="L89" i="14" s="1"/>
  <c r="I35" i="10"/>
  <c r="I31" i="10" s="1"/>
  <c r="N33" i="10"/>
  <c r="N35" i="10" s="1"/>
  <c r="N31" i="10" s="1"/>
  <c r="K88" i="14"/>
  <c r="L88" i="14" s="1"/>
  <c r="P88" i="10"/>
  <c r="K82" i="14"/>
  <c r="L82" i="14" s="1"/>
  <c r="P82" i="10"/>
  <c r="P86" i="10"/>
  <c r="K86" i="14"/>
  <c r="L86" i="14" s="1"/>
  <c r="K83" i="14"/>
  <c r="L83" i="14" s="1"/>
  <c r="P83" i="10"/>
  <c r="D9" i="9"/>
  <c r="B6" i="19"/>
  <c r="G35" i="10" l="1"/>
  <c r="I13" i="10"/>
  <c r="H110" i="10" s="1"/>
  <c r="H71" i="10"/>
  <c r="B33" i="14"/>
  <c r="B12" i="14" s="1"/>
  <c r="H14" i="10"/>
  <c r="G59" i="10" s="1"/>
  <c r="E7" i="11"/>
  <c r="G14" i="10"/>
  <c r="H104" i="10"/>
  <c r="E10" i="11"/>
  <c r="B43" i="19"/>
  <c r="E8" i="11"/>
  <c r="L34" i="10"/>
  <c r="L35" i="10" s="1"/>
  <c r="M31" i="10"/>
  <c r="M6" i="22"/>
  <c r="M7" i="22" s="1"/>
  <c r="P7" i="22" s="1"/>
  <c r="M41" i="22" s="1"/>
  <c r="E48" i="9"/>
  <c r="O10" i="22" s="1"/>
  <c r="O13" i="22" s="1"/>
  <c r="F38" i="22"/>
  <c r="F40" i="22" s="1"/>
  <c r="E25" i="9"/>
  <c r="D20" i="9"/>
  <c r="D57" i="9"/>
  <c r="C81" i="14"/>
  <c r="C49" i="14"/>
  <c r="C71" i="14"/>
  <c r="D13" i="14"/>
  <c r="C110" i="14" s="1"/>
  <c r="E15" i="11"/>
  <c r="C102" i="14"/>
  <c r="C104" i="14" s="1"/>
  <c r="D35" i="14"/>
  <c r="D31" i="14" s="1"/>
  <c r="E11" i="11"/>
  <c r="M90" i="10"/>
  <c r="N81" i="10"/>
  <c r="B14" i="10"/>
  <c r="C12" i="10"/>
  <c r="E9" i="11"/>
  <c r="E13" i="11"/>
  <c r="E14" i="11"/>
  <c r="E12" i="11"/>
  <c r="H111" i="10" l="1"/>
  <c r="B35" i="14"/>
  <c r="G70" i="10"/>
  <c r="G71" i="10"/>
  <c r="I71" i="10" s="1"/>
  <c r="F9" i="11"/>
  <c r="F10" i="11"/>
  <c r="F12" i="11"/>
  <c r="E61" i="9"/>
  <c r="E62" i="9" s="1"/>
  <c r="D25" i="9"/>
  <c r="C70" i="10"/>
  <c r="D70" i="10" s="1"/>
  <c r="C25" i="10"/>
  <c r="G14" i="11" s="1"/>
  <c r="C26" i="10"/>
  <c r="G15" i="11" s="1"/>
  <c r="C19" i="10"/>
  <c r="G8" i="11" s="1"/>
  <c r="C21" i="10"/>
  <c r="G10" i="11" s="1"/>
  <c r="C22" i="10"/>
  <c r="G11" i="11" s="1"/>
  <c r="C14" i="10"/>
  <c r="C18" i="10"/>
  <c r="C24" i="10"/>
  <c r="G13" i="11" s="1"/>
  <c r="D12" i="10"/>
  <c r="C20" i="10"/>
  <c r="G9" i="11" s="1"/>
  <c r="C23" i="10"/>
  <c r="G12" i="11" s="1"/>
  <c r="D45" i="22"/>
  <c r="D51" i="22" s="1"/>
  <c r="D62" i="9"/>
  <c r="F8" i="11"/>
  <c r="F14" i="11"/>
  <c r="F15" i="11"/>
  <c r="C90" i="14"/>
  <c r="D81" i="14"/>
  <c r="D90" i="14" s="1"/>
  <c r="F5" i="19" s="1"/>
  <c r="O81" i="10"/>
  <c r="N90" i="10"/>
  <c r="O90" i="10" s="1"/>
  <c r="E94" i="9" s="1"/>
  <c r="F42" i="22"/>
  <c r="G40" i="22"/>
  <c r="C12" i="14"/>
  <c r="B14" i="14"/>
  <c r="H22" i="10"/>
  <c r="G26" i="11" s="1"/>
  <c r="H26" i="10"/>
  <c r="G30" i="11" s="1"/>
  <c r="H23" i="10"/>
  <c r="G27" i="11" s="1"/>
  <c r="H20" i="10"/>
  <c r="G24" i="11" s="1"/>
  <c r="H19" i="10"/>
  <c r="G23" i="11" s="1"/>
  <c r="H70" i="10"/>
  <c r="I70" i="10" s="1"/>
  <c r="C5" i="19" s="1"/>
  <c r="H24" i="10"/>
  <c r="G28" i="11" s="1"/>
  <c r="H25" i="10"/>
  <c r="G29" i="11" s="1"/>
  <c r="H18" i="10"/>
  <c r="H21" i="10"/>
  <c r="G25" i="11" s="1"/>
  <c r="F7" i="11"/>
  <c r="F13" i="11"/>
  <c r="F11" i="11"/>
  <c r="O63" i="22"/>
  <c r="D32" i="9"/>
  <c r="M42" i="22"/>
  <c r="P42" i="22" s="1"/>
  <c r="D14" i="10" l="1"/>
  <c r="C109" i="10"/>
  <c r="H27" i="11"/>
  <c r="H30" i="11"/>
  <c r="B59" i="14"/>
  <c r="G59" i="14" s="1"/>
  <c r="H19" i="19" s="1"/>
  <c r="I19" i="19" s="1"/>
  <c r="J19" i="19" s="1"/>
  <c r="J30" i="19" s="1"/>
  <c r="D26" i="11"/>
  <c r="D41" i="11" s="1"/>
  <c r="D29" i="11"/>
  <c r="D44" i="11" s="1"/>
  <c r="D24" i="11"/>
  <c r="D39" i="11" s="1"/>
  <c r="D22" i="11"/>
  <c r="D37" i="11" s="1"/>
  <c r="D25" i="11"/>
  <c r="D40" i="11" s="1"/>
  <c r="D30" i="11"/>
  <c r="D45" i="11" s="1"/>
  <c r="D28" i="11"/>
  <c r="D43" i="11" s="1"/>
  <c r="D27" i="11"/>
  <c r="D42" i="11" s="1"/>
  <c r="D23" i="11"/>
  <c r="D38" i="11" s="1"/>
  <c r="I11" i="11"/>
  <c r="G41" i="11"/>
  <c r="J11" i="11"/>
  <c r="H11" i="11"/>
  <c r="P81" i="10"/>
  <c r="P90" i="10" s="1"/>
  <c r="K81" i="14"/>
  <c r="H26" i="11"/>
  <c r="H29" i="11"/>
  <c r="G40" i="11"/>
  <c r="H10" i="11"/>
  <c r="I10" i="11"/>
  <c r="J10" i="11"/>
  <c r="F47" i="22"/>
  <c r="D93" i="9"/>
  <c r="D98" i="9" s="1"/>
  <c r="E98" i="9"/>
  <c r="H27" i="10"/>
  <c r="G22" i="11"/>
  <c r="H28" i="11"/>
  <c r="G42" i="11"/>
  <c r="J12" i="11"/>
  <c r="I12" i="11"/>
  <c r="H12" i="11"/>
  <c r="I8" i="11"/>
  <c r="G38" i="11"/>
  <c r="J8" i="11"/>
  <c r="H8" i="11"/>
  <c r="C27" i="10"/>
  <c r="G7" i="11"/>
  <c r="C19" i="14"/>
  <c r="G8" i="13" s="1"/>
  <c r="C14" i="14"/>
  <c r="C70" i="14"/>
  <c r="C20" i="14"/>
  <c r="G9" i="13" s="1"/>
  <c r="C22" i="14"/>
  <c r="G11" i="13" s="1"/>
  <c r="C18" i="14"/>
  <c r="C24" i="14"/>
  <c r="G13" i="13" s="1"/>
  <c r="D12" i="14"/>
  <c r="C6" i="18"/>
  <c r="C8" i="18" s="1"/>
  <c r="C26" i="14"/>
  <c r="G15" i="13" s="1"/>
  <c r="C23" i="14"/>
  <c r="G12" i="13" s="1"/>
  <c r="C21" i="14"/>
  <c r="G10" i="13" s="1"/>
  <c r="C25" i="14"/>
  <c r="G14" i="13" s="1"/>
  <c r="D34" i="9"/>
  <c r="E33" i="9"/>
  <c r="E34" i="9" s="1"/>
  <c r="H9" i="11"/>
  <c r="I9" i="11"/>
  <c r="G39" i="11"/>
  <c r="J9" i="11"/>
  <c r="H23" i="11"/>
  <c r="I14" i="11"/>
  <c r="H14" i="11"/>
  <c r="J14" i="11"/>
  <c r="G44" i="11"/>
  <c r="H25" i="11"/>
  <c r="G45" i="11"/>
  <c r="H15" i="11"/>
  <c r="I15" i="11"/>
  <c r="J15" i="11"/>
  <c r="I14" i="10"/>
  <c r="I76" i="10" s="1"/>
  <c r="H24" i="11"/>
  <c r="H13" i="11"/>
  <c r="G43" i="11"/>
  <c r="I13" i="11"/>
  <c r="J13" i="11"/>
  <c r="D7" i="9"/>
  <c r="G110" i="14" l="1"/>
  <c r="D8" i="25" s="1"/>
  <c r="E8" i="25" s="1"/>
  <c r="G8" i="25" s="1"/>
  <c r="D14" i="14"/>
  <c r="C109" i="14"/>
  <c r="C111" i="14" s="1"/>
  <c r="B109" i="10"/>
  <c r="C111" i="10"/>
  <c r="B111" i="10" s="1"/>
  <c r="J25" i="11"/>
  <c r="J40" i="11" s="1"/>
  <c r="J24" i="11"/>
  <c r="J39" i="11" s="1"/>
  <c r="J30" i="11"/>
  <c r="J45" i="11" s="1"/>
  <c r="J28" i="11"/>
  <c r="J43" i="11" s="1"/>
  <c r="K8" i="11"/>
  <c r="J23" i="11"/>
  <c r="J38" i="11" s="1"/>
  <c r="K11" i="11"/>
  <c r="K14" i="11"/>
  <c r="J29" i="11"/>
  <c r="J44" i="11" s="1"/>
  <c r="D72" i="9"/>
  <c r="P99" i="10"/>
  <c r="E130" i="9" s="1"/>
  <c r="E131" i="9" s="1"/>
  <c r="D127" i="9"/>
  <c r="E106" i="9"/>
  <c r="D7" i="13"/>
  <c r="D8" i="13"/>
  <c r="D13" i="13"/>
  <c r="J13" i="13" s="1"/>
  <c r="D14" i="13"/>
  <c r="J14" i="13" s="1"/>
  <c r="D11" i="13"/>
  <c r="J11" i="13" s="1"/>
  <c r="D15" i="13"/>
  <c r="J15" i="13" s="1"/>
  <c r="B70" i="14"/>
  <c r="D70" i="14" s="1"/>
  <c r="D12" i="13"/>
  <c r="J12" i="13" s="1"/>
  <c r="D10" i="13"/>
  <c r="J10" i="13" s="1"/>
  <c r="B71" i="14"/>
  <c r="D71" i="14" s="1"/>
  <c r="D9" i="13"/>
  <c r="J9" i="13" s="1"/>
  <c r="H44" i="11"/>
  <c r="H8" i="13"/>
  <c r="G38" i="13"/>
  <c r="G7" i="13"/>
  <c r="C27" i="14"/>
  <c r="K90" i="14"/>
  <c r="L90" i="14" s="1"/>
  <c r="H7" i="11"/>
  <c r="G16" i="11"/>
  <c r="J7" i="11"/>
  <c r="J16" i="11" s="1"/>
  <c r="I7" i="11"/>
  <c r="I16" i="11" s="1"/>
  <c r="G37" i="11"/>
  <c r="G46" i="11" s="1"/>
  <c r="H40" i="11"/>
  <c r="K15" i="11"/>
  <c r="G44" i="13"/>
  <c r="H14" i="13"/>
  <c r="G41" i="13"/>
  <c r="H11" i="13"/>
  <c r="H45" i="11"/>
  <c r="H39" i="11"/>
  <c r="H10" i="13"/>
  <c r="G40" i="13"/>
  <c r="G39" i="13"/>
  <c r="H9" i="13"/>
  <c r="H43" i="11"/>
  <c r="J26" i="11"/>
  <c r="J41" i="11" s="1"/>
  <c r="H42" i="11"/>
  <c r="K13" i="11"/>
  <c r="H38" i="11"/>
  <c r="G42" i="13"/>
  <c r="H12" i="13"/>
  <c r="H22" i="11"/>
  <c r="J22" i="11"/>
  <c r="G31" i="11"/>
  <c r="K10" i="11"/>
  <c r="J27" i="11"/>
  <c r="J42" i="11" s="1"/>
  <c r="G43" i="13"/>
  <c r="H13" i="13"/>
  <c r="D7" i="22"/>
  <c r="E46" i="9"/>
  <c r="K9" i="11"/>
  <c r="G45" i="13"/>
  <c r="H15" i="13"/>
  <c r="K12" i="11"/>
  <c r="H41" i="11"/>
  <c r="C6" i="19"/>
  <c r="D73" i="9"/>
  <c r="M12" i="22" s="1"/>
  <c r="M13" i="22" s="1"/>
  <c r="D76" i="14" l="1"/>
  <c r="I110" i="14"/>
  <c r="D110" i="14"/>
  <c r="D109" i="14" s="1"/>
  <c r="B109" i="14" s="1"/>
  <c r="I110" i="10"/>
  <c r="I109" i="10" s="1"/>
  <c r="C43" i="19"/>
  <c r="H44" i="13"/>
  <c r="H41" i="13"/>
  <c r="D138" i="9"/>
  <c r="D142" i="9" s="1"/>
  <c r="E139" i="9"/>
  <c r="D131" i="9"/>
  <c r="D53" i="22"/>
  <c r="D57" i="22" s="1"/>
  <c r="K16" i="11"/>
  <c r="H16" i="11"/>
  <c r="B16" i="11" s="1"/>
  <c r="H45" i="13"/>
  <c r="J31" i="11"/>
  <c r="J37" i="11"/>
  <c r="J46" i="11" s="1"/>
  <c r="J7" i="13"/>
  <c r="G37" i="13"/>
  <c r="G46" i="13" s="1"/>
  <c r="G16" i="13"/>
  <c r="H7" i="13"/>
  <c r="H38" i="13"/>
  <c r="F49" i="22"/>
  <c r="F51" i="22" s="1"/>
  <c r="G51" i="22" s="1"/>
  <c r="D105" i="9"/>
  <c r="D109" i="9" s="1"/>
  <c r="E109" i="9"/>
  <c r="D21" i="22"/>
  <c r="D77" i="9"/>
  <c r="H42" i="13"/>
  <c r="F18" i="22"/>
  <c r="H40" i="13"/>
  <c r="D27" i="13"/>
  <c r="D42" i="13" s="1"/>
  <c r="G71" i="14"/>
  <c r="I71" i="14" s="1"/>
  <c r="G6" i="19" s="1"/>
  <c r="G43" i="19" s="1"/>
  <c r="D28" i="13"/>
  <c r="D24" i="13"/>
  <c r="D39" i="13" s="1"/>
  <c r="B6" i="18"/>
  <c r="E6" i="18" s="1"/>
  <c r="D25" i="13"/>
  <c r="D40" i="13" s="1"/>
  <c r="D22" i="13"/>
  <c r="D24" i="21"/>
  <c r="D46" i="21" s="1"/>
  <c r="G70" i="14"/>
  <c r="I70" i="14" s="1"/>
  <c r="B7" i="18"/>
  <c r="E7" i="18" s="1"/>
  <c r="D29" i="13"/>
  <c r="D26" i="13"/>
  <c r="D41" i="13" s="1"/>
  <c r="D23" i="13"/>
  <c r="D38" i="13" s="1"/>
  <c r="F15" i="21"/>
  <c r="G15" i="21" s="1"/>
  <c r="D30" i="13"/>
  <c r="D45" i="13" s="1"/>
  <c r="H31" i="11"/>
  <c r="B31" i="11" s="1"/>
  <c r="H37" i="11"/>
  <c r="H39" i="13"/>
  <c r="P13" i="22"/>
  <c r="O14" i="22" s="1"/>
  <c r="M15" i="22"/>
  <c r="H43" i="13"/>
  <c r="J8" i="13"/>
  <c r="I111" i="10" l="1"/>
  <c r="G111" i="10" s="1"/>
  <c r="G109" i="10"/>
  <c r="E17" i="21"/>
  <c r="I17" i="21" s="1"/>
  <c r="I109" i="14"/>
  <c r="D72" i="10"/>
  <c r="D75" i="10" s="1"/>
  <c r="J29" i="13"/>
  <c r="H37" i="13"/>
  <c r="H16" i="13"/>
  <c r="B16" i="13" s="1"/>
  <c r="G5" i="19"/>
  <c r="E24" i="21"/>
  <c r="E25" i="21" s="1"/>
  <c r="E43" i="21" s="1"/>
  <c r="E46" i="21"/>
  <c r="E48" i="21" s="1"/>
  <c r="M64" i="22"/>
  <c r="O15" i="22"/>
  <c r="P15" i="22" s="1"/>
  <c r="E142" i="9"/>
  <c r="F55" i="22"/>
  <c r="F57" i="22" s="1"/>
  <c r="G57" i="22" s="1"/>
  <c r="J28" i="13"/>
  <c r="J27" i="13"/>
  <c r="D43" i="13"/>
  <c r="G18" i="21"/>
  <c r="J25" i="13"/>
  <c r="H6" i="19"/>
  <c r="J22" i="19" s="1"/>
  <c r="J29" i="19" s="1"/>
  <c r="J31" i="19" s="1"/>
  <c r="J32" i="19" s="1"/>
  <c r="J33" i="19" s="1"/>
  <c r="J30" i="13"/>
  <c r="J22" i="13"/>
  <c r="J23" i="13"/>
  <c r="E8" i="18"/>
  <c r="H8" i="18" s="1"/>
  <c r="D37" i="13"/>
  <c r="J16" i="13"/>
  <c r="E10" i="9"/>
  <c r="H43" i="19"/>
  <c r="H46" i="11"/>
  <c r="J26" i="13"/>
  <c r="J24" i="13"/>
  <c r="D44" i="13"/>
  <c r="G109" i="14" l="1"/>
  <c r="G102" i="14" s="1"/>
  <c r="I111" i="14"/>
  <c r="G111" i="14" s="1"/>
  <c r="D7" i="18"/>
  <c r="J45" i="13"/>
  <c r="H7" i="18"/>
  <c r="I7" i="18" s="1"/>
  <c r="D158" i="9" s="1"/>
  <c r="H6" i="18"/>
  <c r="I6" i="18" s="1"/>
  <c r="J43" i="13"/>
  <c r="J39" i="13"/>
  <c r="J41" i="13"/>
  <c r="I72" i="10"/>
  <c r="I75" i="10" s="1"/>
  <c r="E74" i="9"/>
  <c r="D6" i="18"/>
  <c r="H46" i="13"/>
  <c r="M66" i="22"/>
  <c r="D117" i="9"/>
  <c r="E119" i="9" s="1"/>
  <c r="D41" i="9"/>
  <c r="F8" i="22"/>
  <c r="F10" i="22" s="1"/>
  <c r="J42" i="13"/>
  <c r="J37" i="13"/>
  <c r="J31" i="13"/>
  <c r="J38" i="13"/>
  <c r="J40" i="13"/>
  <c r="J44" i="13"/>
  <c r="I102" i="10" l="1"/>
  <c r="G54" i="10"/>
  <c r="J46" i="13"/>
  <c r="D8" i="18"/>
  <c r="I8" i="18"/>
  <c r="D72" i="14"/>
  <c r="D75" i="14" s="1"/>
  <c r="D160" i="9"/>
  <c r="E159" i="9"/>
  <c r="E160" i="9" s="1"/>
  <c r="M17" i="22"/>
  <c r="M18" i="22" s="1"/>
  <c r="P18" i="22" s="1"/>
  <c r="M54" i="22" s="1"/>
  <c r="F12" i="22"/>
  <c r="F22" i="22"/>
  <c r="E76" i="9"/>
  <c r="E77" i="9" s="1"/>
  <c r="D14" i="22"/>
  <c r="D25" i="22" s="1"/>
  <c r="C27" i="11" l="1"/>
  <c r="C26" i="11"/>
  <c r="C22" i="11"/>
  <c r="C23" i="11"/>
  <c r="C28" i="11"/>
  <c r="C29" i="11"/>
  <c r="C24" i="11"/>
  <c r="C30" i="11"/>
  <c r="C25" i="11"/>
  <c r="I104" i="10"/>
  <c r="G104" i="10" s="1"/>
  <c r="D102" i="14"/>
  <c r="M55" i="22"/>
  <c r="P55" i="22" s="1"/>
  <c r="D168" i="9"/>
  <c r="E170" i="9" s="1"/>
  <c r="O65" i="22"/>
  <c r="O66" i="22" s="1"/>
  <c r="P66" i="22" s="1"/>
  <c r="I72" i="14"/>
  <c r="D27" i="22"/>
  <c r="F30" i="22"/>
  <c r="F31" i="22" s="1"/>
  <c r="F33" i="22" s="1"/>
  <c r="I24" i="11" l="1"/>
  <c r="E24" i="11"/>
  <c r="C39" i="11"/>
  <c r="I28" i="11"/>
  <c r="E28" i="11"/>
  <c r="C43" i="11"/>
  <c r="E29" i="11"/>
  <c r="C44" i="11"/>
  <c r="I29" i="11"/>
  <c r="C38" i="11"/>
  <c r="I23" i="11"/>
  <c r="E23" i="11"/>
  <c r="D104" i="14"/>
  <c r="B104" i="14" s="1"/>
  <c r="B54" i="14"/>
  <c r="E22" i="11"/>
  <c r="C37" i="11"/>
  <c r="I22" i="11"/>
  <c r="E30" i="11"/>
  <c r="I30" i="11"/>
  <c r="C45" i="11"/>
  <c r="E26" i="11"/>
  <c r="I26" i="11"/>
  <c r="C41" i="11"/>
  <c r="E25" i="11"/>
  <c r="C40" i="11"/>
  <c r="I25" i="11"/>
  <c r="E27" i="11"/>
  <c r="C42" i="11"/>
  <c r="I27" i="11"/>
  <c r="F22" i="11" l="1"/>
  <c r="F37" i="11" s="1"/>
  <c r="E37" i="11"/>
  <c r="F25" i="11"/>
  <c r="F40" i="11" s="1"/>
  <c r="E40" i="11"/>
  <c r="C14" i="13"/>
  <c r="C13" i="13"/>
  <c r="C15" i="13"/>
  <c r="C12" i="13"/>
  <c r="C10" i="13"/>
  <c r="C7" i="13"/>
  <c r="C9" i="13"/>
  <c r="C8" i="13"/>
  <c r="C11" i="13"/>
  <c r="F28" i="11"/>
  <c r="F43" i="11" s="1"/>
  <c r="E43" i="11"/>
  <c r="I43" i="11"/>
  <c r="K43" i="11" s="1"/>
  <c r="K28" i="11"/>
  <c r="I41" i="11"/>
  <c r="K41" i="11" s="1"/>
  <c r="K26" i="11"/>
  <c r="F26" i="11"/>
  <c r="F41" i="11" s="1"/>
  <c r="E41" i="11"/>
  <c r="F27" i="11"/>
  <c r="F42" i="11" s="1"/>
  <c r="E42" i="11"/>
  <c r="K27" i="11"/>
  <c r="I42" i="11"/>
  <c r="K42" i="11" s="1"/>
  <c r="E38" i="11"/>
  <c r="F23" i="11"/>
  <c r="F38" i="11" s="1"/>
  <c r="I45" i="11"/>
  <c r="K45" i="11" s="1"/>
  <c r="K30" i="11"/>
  <c r="K23" i="11"/>
  <c r="I38" i="11"/>
  <c r="K38" i="11" s="1"/>
  <c r="I40" i="11"/>
  <c r="K40" i="11" s="1"/>
  <c r="K25" i="11"/>
  <c r="E45" i="11"/>
  <c r="F30" i="11"/>
  <c r="F45" i="11" s="1"/>
  <c r="F24" i="11"/>
  <c r="F39" i="11" s="1"/>
  <c r="E39" i="11"/>
  <c r="E44" i="11"/>
  <c r="F29" i="11"/>
  <c r="F44" i="11" s="1"/>
  <c r="K22" i="11"/>
  <c r="K31" i="11" s="1"/>
  <c r="I31" i="11"/>
  <c r="I37" i="11"/>
  <c r="K29" i="11"/>
  <c r="I44" i="11"/>
  <c r="K44" i="11" s="1"/>
  <c r="I39" i="11"/>
  <c r="K39" i="11" s="1"/>
  <c r="K24" i="11"/>
  <c r="E12" i="9"/>
  <c r="B67" i="10"/>
  <c r="D5" i="9"/>
  <c r="E44" i="9" s="1"/>
  <c r="I15" i="13" l="1"/>
  <c r="K15" i="13" s="1"/>
  <c r="E15" i="13"/>
  <c r="F15" i="13" s="1"/>
  <c r="I13" i="13"/>
  <c r="K13" i="13" s="1"/>
  <c r="E13" i="13"/>
  <c r="F13" i="13" s="1"/>
  <c r="I11" i="13"/>
  <c r="K11" i="13" s="1"/>
  <c r="E11" i="13"/>
  <c r="F11" i="13" s="1"/>
  <c r="E14" i="13"/>
  <c r="F14" i="13" s="1"/>
  <c r="I14" i="13"/>
  <c r="K14" i="13" s="1"/>
  <c r="E8" i="13"/>
  <c r="F8" i="13" s="1"/>
  <c r="I8" i="13"/>
  <c r="K8" i="13" s="1"/>
  <c r="I9" i="13"/>
  <c r="K9" i="13" s="1"/>
  <c r="E9" i="13"/>
  <c r="F9" i="13" s="1"/>
  <c r="E12" i="13"/>
  <c r="F12" i="13" s="1"/>
  <c r="I12" i="13"/>
  <c r="K12" i="13" s="1"/>
  <c r="I46" i="11"/>
  <c r="K37" i="11"/>
  <c r="K46" i="11" s="1"/>
  <c r="E7" i="13"/>
  <c r="F7" i="13" s="1"/>
  <c r="I7" i="13"/>
  <c r="I10" i="13"/>
  <c r="K10" i="13" s="1"/>
  <c r="E10" i="13"/>
  <c r="F10" i="13" s="1"/>
  <c r="D13" i="9"/>
  <c r="D5" i="22"/>
  <c r="D10" i="22" s="1"/>
  <c r="G10" i="22" s="1"/>
  <c r="D41" i="22" s="1"/>
  <c r="B5" i="19"/>
  <c r="E13" i="9"/>
  <c r="D43" i="9"/>
  <c r="D49" i="9" s="1"/>
  <c r="F16" i="22"/>
  <c r="E49" i="9"/>
  <c r="D5" i="19" l="1"/>
  <c r="E85" i="9"/>
  <c r="I16" i="13"/>
  <c r="K7" i="13"/>
  <c r="K16" i="13" s="1"/>
  <c r="D12" i="22"/>
  <c r="G12" i="22" s="1"/>
  <c r="F63" i="22"/>
  <c r="D42" i="22"/>
  <c r="G42" i="22" s="1"/>
  <c r="E86" i="9" l="1"/>
  <c r="F24" i="22"/>
  <c r="F25" i="22" s="1"/>
  <c r="G25" i="22" s="1"/>
  <c r="F26" i="22" s="1"/>
  <c r="D64" i="22" s="1"/>
  <c r="D66" i="22" s="1"/>
  <c r="D84" i="9"/>
  <c r="D86" i="9" s="1"/>
  <c r="D116" i="9" l="1"/>
  <c r="F27" i="22"/>
  <c r="G27" i="22" s="1"/>
  <c r="E118" i="9"/>
  <c r="E120" i="9" s="1"/>
  <c r="D120" i="9"/>
  <c r="I75" i="14" l="1"/>
  <c r="G54" i="14" l="1"/>
  <c r="C23" i="13" s="1"/>
  <c r="I102" i="14"/>
  <c r="I104" i="14" s="1"/>
  <c r="G104" i="14" s="1"/>
  <c r="C28" i="13" l="1"/>
  <c r="I28" i="13" s="1"/>
  <c r="I43" i="13" s="1"/>
  <c r="K43" i="13" s="1"/>
  <c r="I23" i="13"/>
  <c r="C38" i="13"/>
  <c r="E23" i="13"/>
  <c r="C22" i="13"/>
  <c r="C25" i="13"/>
  <c r="C26" i="13"/>
  <c r="C24" i="13"/>
  <c r="C27" i="13"/>
  <c r="C30" i="13"/>
  <c r="D15" i="21"/>
  <c r="E15" i="21" s="1"/>
  <c r="C29" i="13"/>
  <c r="C43" i="13" l="1"/>
  <c r="E28" i="13"/>
  <c r="E43" i="13" s="1"/>
  <c r="K28" i="13"/>
  <c r="I29" i="13"/>
  <c r="C44" i="13"/>
  <c r="E29" i="13"/>
  <c r="I30" i="13"/>
  <c r="C45" i="13"/>
  <c r="E30" i="13"/>
  <c r="I22" i="13"/>
  <c r="E22" i="13"/>
  <c r="C37" i="13"/>
  <c r="E27" i="13"/>
  <c r="I27" i="13"/>
  <c r="C42" i="13"/>
  <c r="K23" i="13"/>
  <c r="I38" i="13"/>
  <c r="K38" i="13" s="1"/>
  <c r="I25" i="13"/>
  <c r="E25" i="13"/>
  <c r="C40" i="13"/>
  <c r="C39" i="13"/>
  <c r="E24" i="13"/>
  <c r="I24" i="13"/>
  <c r="E18" i="21"/>
  <c r="F23" i="13"/>
  <c r="F38" i="13" s="1"/>
  <c r="E38" i="13"/>
  <c r="E26" i="13"/>
  <c r="I26" i="13"/>
  <c r="C41" i="13"/>
  <c r="F28" i="13" l="1"/>
  <c r="F43" i="13" s="1"/>
  <c r="F22" i="13"/>
  <c r="F37" i="13" s="1"/>
  <c r="E37" i="13"/>
  <c r="I37" i="13"/>
  <c r="K22" i="13"/>
  <c r="I31" i="13"/>
  <c r="F30" i="13"/>
  <c r="F45" i="13" s="1"/>
  <c r="E45" i="13"/>
  <c r="I40" i="13"/>
  <c r="K40" i="13" s="1"/>
  <c r="K25" i="13"/>
  <c r="F24" i="13"/>
  <c r="F39" i="13" s="1"/>
  <c r="E39" i="13"/>
  <c r="E44" i="13"/>
  <c r="F29" i="13"/>
  <c r="F44" i="13" s="1"/>
  <c r="I45" i="13"/>
  <c r="K45" i="13" s="1"/>
  <c r="K30" i="13"/>
  <c r="K27" i="13"/>
  <c r="I42" i="13"/>
  <c r="K42" i="13" s="1"/>
  <c r="E42" i="13"/>
  <c r="F27" i="13"/>
  <c r="F42" i="13" s="1"/>
  <c r="F25" i="13"/>
  <c r="F40" i="13" s="1"/>
  <c r="E40" i="13"/>
  <c r="K26" i="13"/>
  <c r="I41" i="13"/>
  <c r="K41" i="13" s="1"/>
  <c r="K24" i="13"/>
  <c r="I39" i="13"/>
  <c r="K39" i="13" s="1"/>
  <c r="E41" i="13"/>
  <c r="F26" i="13"/>
  <c r="F41" i="13" s="1"/>
  <c r="I44" i="13"/>
  <c r="K44" i="13" s="1"/>
  <c r="K29" i="13"/>
  <c r="K31" i="13" l="1"/>
  <c r="H15" i="21" s="1"/>
  <c r="I46" i="13"/>
  <c r="K37" i="13"/>
  <c r="K46" i="13" s="1"/>
  <c r="D29" i="22" l="1"/>
  <c r="D31" i="22" s="1"/>
  <c r="E5" i="19"/>
  <c r="H5" i="19" s="1"/>
  <c r="B12" i="19" s="1"/>
  <c r="D12" i="19" s="1"/>
  <c r="E150" i="9"/>
  <c r="H18" i="21"/>
  <c r="I15" i="21"/>
  <c r="I18" i="21" l="1"/>
  <c r="D33" i="21"/>
  <c r="E33" i="21" s="1"/>
  <c r="E151" i="9"/>
  <c r="D149" i="9"/>
  <c r="D151" i="9" s="1"/>
  <c r="G31" i="22"/>
  <c r="D32" i="22" s="1"/>
  <c r="D33" i="22" s="1"/>
  <c r="G33" i="22" s="1"/>
  <c r="E30" i="21" l="1"/>
  <c r="E12" i="19"/>
  <c r="F12" i="19" s="1"/>
  <c r="F13" i="19" s="1"/>
  <c r="F65" i="22"/>
  <c r="F66" i="22" s="1"/>
  <c r="G66" i="22" s="1"/>
  <c r="D167" i="9"/>
  <c r="E169" i="9" l="1"/>
  <c r="E171" i="9" s="1"/>
  <c r="D171" i="9"/>
  <c r="D111" i="14"/>
  <c r="B111" i="14" s="1"/>
</calcChain>
</file>

<file path=xl/sharedStrings.xml><?xml version="1.0" encoding="utf-8"?>
<sst xmlns="http://schemas.openxmlformats.org/spreadsheetml/2006/main" count="1068" uniqueCount="453">
  <si>
    <t>Dr. Account 4705 - Power Purchased</t>
  </si>
  <si>
    <t>Cr. Account 2256 - IESO Accounts Payable</t>
  </si>
  <si>
    <t>Tier 1</t>
  </si>
  <si>
    <t>Tier 2</t>
  </si>
  <si>
    <t>Dr. Accounts Receivable</t>
  </si>
  <si>
    <t>Dr. Account 2256 - IESO Accounts Payable reduction</t>
  </si>
  <si>
    <t>Cr. Account 4705 - Power Purchased</t>
  </si>
  <si>
    <t>Difference</t>
  </si>
  <si>
    <t>Estimated %</t>
  </si>
  <si>
    <t>Actual %</t>
  </si>
  <si>
    <t>per kWh</t>
  </si>
  <si>
    <t>Estimated RPP Quantities</t>
  </si>
  <si>
    <t>Estimated non-RPP Quantities</t>
  </si>
  <si>
    <t xml:space="preserve">Wholesale kWh Volumes </t>
  </si>
  <si>
    <t>kWh Volumes</t>
  </si>
  <si>
    <t>Commodity Price</t>
  </si>
  <si>
    <t>RPP Rate</t>
  </si>
  <si>
    <t>RPP Rate/kWh</t>
  </si>
  <si>
    <t>Total Estimated Revenue</t>
  </si>
  <si>
    <t>GA 1st estimate</t>
  </si>
  <si>
    <t>GA 2nd estimate</t>
  </si>
  <si>
    <t>Commodity Cost of Power Accrual:</t>
  </si>
  <si>
    <t>Table 1: Wholesale Volume data used for Cost of Power Accrual:</t>
  </si>
  <si>
    <t>Commodity Cost of Power per IESO Invoice:</t>
  </si>
  <si>
    <t>Actual RPP Sales Quantities</t>
  </si>
  <si>
    <t>Actual non-RPP Sales Quantities</t>
  </si>
  <si>
    <t>Total Actual Revenue</t>
  </si>
  <si>
    <t>Total Commodity</t>
  </si>
  <si>
    <t xml:space="preserve">GA 2nd Estimate </t>
  </si>
  <si>
    <t>GA Actual</t>
  </si>
  <si>
    <t>Actual RPP Quantity Proportion</t>
  </si>
  <si>
    <t>Billed/Unbilled Retail Volumes</t>
  </si>
  <si>
    <t>Estimated RPP Quantity Proportion</t>
  </si>
  <si>
    <t>Estimated non-RPP Quantity Proportion</t>
  </si>
  <si>
    <t>Actual non-RPP Quantity Proportion</t>
  </si>
  <si>
    <t>RPP Revenue Prices</t>
  </si>
  <si>
    <t>Cost/kWh</t>
  </si>
  <si>
    <t>Amount</t>
  </si>
  <si>
    <t>Charge Type 148 - non-RPP - 4707</t>
  </si>
  <si>
    <t>Charge Type 148 - RPP - 4705</t>
  </si>
  <si>
    <t>Cr. Billings Energy Sales Accounts 4006-4055 non-RPP</t>
  </si>
  <si>
    <t>Dr. Account 2256 - IESO Accounts Payable</t>
  </si>
  <si>
    <t>Cr. Accounts Receivable</t>
  </si>
  <si>
    <t>Dr. Billings Energy Sales Accounts 4006-4055 non-RPP</t>
  </si>
  <si>
    <t>Dr. Account 4707 - Charges GA</t>
  </si>
  <si>
    <t>Cr. Account 4705 - Power Purchased RPP GA</t>
  </si>
  <si>
    <t>Commodity cost of power accrual</t>
  </si>
  <si>
    <t>$</t>
  </si>
  <si>
    <t>Proportion of total</t>
  </si>
  <si>
    <t>Recorded in Account 4705</t>
  </si>
  <si>
    <t>Recorded in Account 4707</t>
  </si>
  <si>
    <t>Adjustment required</t>
  </si>
  <si>
    <t xml:space="preserve">Estimated Retail Revenue kWh Volumes </t>
  </si>
  <si>
    <t>Wholesale Prices</t>
  </si>
  <si>
    <t>GA Price Difference</t>
  </si>
  <si>
    <t xml:space="preserve">Actual Retail Revenue kWh Volumes </t>
  </si>
  <si>
    <t>True-Up elements</t>
  </si>
  <si>
    <t>RPP Settlement - 2nd True-UP</t>
  </si>
  <si>
    <t>Account 4705 - Power Purchased</t>
  </si>
  <si>
    <t>Date</t>
  </si>
  <si>
    <t>Balance</t>
  </si>
  <si>
    <t>Notes:</t>
  </si>
  <si>
    <t>a</t>
  </si>
  <si>
    <t>b</t>
  </si>
  <si>
    <t>c</t>
  </si>
  <si>
    <t>Estimated RPP Sales Quantities</t>
  </si>
  <si>
    <t>Estimated non-RPP Sales Quantities</t>
  </si>
  <si>
    <t>Estimated RPP Energy Price</t>
  </si>
  <si>
    <t>Estimated Average Energy Price for RPP customers</t>
  </si>
  <si>
    <t>Estimated Average Energy Price for non-RPP customers</t>
  </si>
  <si>
    <t>GA Posted Price</t>
  </si>
  <si>
    <t>Initial RPP Settlement and 1st True-UP</t>
  </si>
  <si>
    <t>RPP Energy Price Difference</t>
  </si>
  <si>
    <t>$ Estimated RPP Energy</t>
  </si>
  <si>
    <t>$ Actual RPP Energy</t>
  </si>
  <si>
    <t>$ Actual GA</t>
  </si>
  <si>
    <t>$ Estimated GA</t>
  </si>
  <si>
    <t>$ Estimated RPP Revenue</t>
  </si>
  <si>
    <t>$ True-Up RPP Revenue</t>
  </si>
  <si>
    <t>$ True-up RPP Energy</t>
  </si>
  <si>
    <t>$ True-up GA</t>
  </si>
  <si>
    <t>Actual RPP Energy Price</t>
  </si>
  <si>
    <t>GA Billed by IESO CT 148</t>
  </si>
  <si>
    <t>JE #1 - IESO Cost of Power Accrual</t>
  </si>
  <si>
    <t>JE #2 - Revenue Estimate</t>
  </si>
  <si>
    <t>RPP vs non-RPP Allocation</t>
  </si>
  <si>
    <t>Closing Principal Balance</t>
  </si>
  <si>
    <t>COP Accrual vs Actual GA - Per IESO Bill</t>
  </si>
  <si>
    <t>Unbilled vs Actual Difference</t>
  </si>
  <si>
    <t xml:space="preserve"> </t>
  </si>
  <si>
    <t>Rate</t>
  </si>
  <si>
    <t>Description</t>
  </si>
  <si>
    <t>DR</t>
  </si>
  <si>
    <t>CR</t>
  </si>
  <si>
    <t>d</t>
  </si>
  <si>
    <t>GA Volumes</t>
  </si>
  <si>
    <t>Energy Volumes</t>
  </si>
  <si>
    <t>RPP/non-RPP Ratios</t>
  </si>
  <si>
    <t>Class A customer Volumes for GA  (TLF included)</t>
  </si>
  <si>
    <t>Charge Type 148 - non-RPP Class B - 4707</t>
  </si>
  <si>
    <t>Class B non-RPP GA Revenue at 1st estimate</t>
  </si>
  <si>
    <t>Estimated Class A non-RPP GA Revenue at PDF</t>
  </si>
  <si>
    <t>Class B - GA actual</t>
  </si>
  <si>
    <t>GA RPP/non-RPP Ratios</t>
  </si>
  <si>
    <t>Estimated Retail Revenue Data (Net of Retail Billed/Unbilled)</t>
  </si>
  <si>
    <t>Charge Type 147 - non-RPP Class A - 4707</t>
  </si>
  <si>
    <t>Commodity Prices</t>
  </si>
  <si>
    <t>Table 4: Estimated RPP Revenue Volume and Price Data</t>
  </si>
  <si>
    <t>Table 5: Commodity Price Data:</t>
  </si>
  <si>
    <t>Table 6: Commodity Cost of Power Accrual</t>
  </si>
  <si>
    <t>Table 7: RPP Commodity Revenue</t>
  </si>
  <si>
    <t>Table 10: Wholesale Volume data per IESO Power Bill:</t>
  </si>
  <si>
    <t>Table 12: Estimated Retail Volume Revenue Data (TLF Included)</t>
  </si>
  <si>
    <t>Table 13: Estimated RPP Revenue Volume and Price Data</t>
  </si>
  <si>
    <t>Table 14: Commodity Price Data:</t>
  </si>
  <si>
    <t>Table 15: Commodity Cost of Power Billed by IESO</t>
  </si>
  <si>
    <t>Table 16: RPP Commodity Revenue</t>
  </si>
  <si>
    <t>Table 8: non-RPP Energy and GA Revenue Accrual</t>
  </si>
  <si>
    <t>Actual Class A non-RPP GA Revenue at PDF</t>
  </si>
  <si>
    <t>Estimated Net Accrued &amp; Billed Revenue from RPP &amp; non-RPP Customers:</t>
  </si>
  <si>
    <t>Updated Estimated Net Accrued &amp; Billed Revenue from RPP &amp; non-RPP Customers:</t>
  </si>
  <si>
    <t>Class B - GA actual IESO billed</t>
  </si>
  <si>
    <t>Actual Net Accrued &amp; Billed Revenue from RPP &amp; non-RPP Customers:</t>
  </si>
  <si>
    <t>Table 21: True-up of 2nd Estimate GA to Actual GA Price</t>
  </si>
  <si>
    <t>RPP vs non-RPP Cost of Power Journal Entry True-up of CT 148</t>
  </si>
  <si>
    <t>Table 27: Commodity Cost of Power Billed by IESO</t>
  </si>
  <si>
    <t>Table 28: RPP Commodity Revenue</t>
  </si>
  <si>
    <t>Estimated non-RPP Energy Revenue</t>
  </si>
  <si>
    <t>Actual Average Energy Price for RPP Customers</t>
  </si>
  <si>
    <t>Actual Average Energy Price for non-RPP customers</t>
  </si>
  <si>
    <t>Table 19: Estimated RPP Revenue and GA 2nd Estimate</t>
  </si>
  <si>
    <t>Table 20: Revised RPP Settlement based on Estimated RPP Revenue and Actual GA Price</t>
  </si>
  <si>
    <t>Table 22: Wholesale Volume data per IESO Power Bill</t>
  </si>
  <si>
    <t>Table 26: Commodity Price Data</t>
  </si>
  <si>
    <t>Actual non-RPP Energy Revenue</t>
  </si>
  <si>
    <t>2nd RPP Settlement True-up</t>
  </si>
  <si>
    <t>1st RPP Settlement True-up based on Actual GA Price</t>
  </si>
  <si>
    <t>RPP Settlement- 1st true-up</t>
  </si>
  <si>
    <t>RPP Settlement - 2nd true-up</t>
  </si>
  <si>
    <t>Balance for Disposition</t>
  </si>
  <si>
    <t>Account</t>
  </si>
  <si>
    <t>Dr. Account 4705 - Power Purchased - RPP GA Charges (CT 148)</t>
  </si>
  <si>
    <t>Dr. Account 4707 - GA Charges - Class A non-RPP (CT 147)</t>
  </si>
  <si>
    <t>Dr. Account 4707 - GA Charges - Class B non-RPP (CT 148)</t>
  </si>
  <si>
    <t>Cr. Billings Energy Sales Accounts 4006-4055 RPP</t>
  </si>
  <si>
    <t>Cr. Billings Energy Sales Accounts 4006-4055 Class A non-RPP GA</t>
  </si>
  <si>
    <t>Cr. Billings Energy Sales Accounts 4006-4055 Class B non-RPP GA</t>
  </si>
  <si>
    <t>Cr. Account 4707 - GA Charges - Class A non-RPP (CT 147)</t>
  </si>
  <si>
    <t>Cr. Account 4705 - Power Purchased - RPP GA Charges (CT 148)</t>
  </si>
  <si>
    <t>Cr. Account 4707 - GA Charges - Class B non-RPP (CT 148)</t>
  </si>
  <si>
    <t>To reverse JE #1 cost of power accrual.</t>
  </si>
  <si>
    <t>Dr. Billings Energy Sales Accounts 4006-4055 RPP</t>
  </si>
  <si>
    <t>Dr. Billings Energy Sales Accounts 4006-4055 Class A non-RPP GA</t>
  </si>
  <si>
    <t>Dr. Billings Energy Sales Accounts 4006-4055 Class B non-RPP GA</t>
  </si>
  <si>
    <t>Reconciling Item</t>
  </si>
  <si>
    <t>N/A</t>
  </si>
  <si>
    <t xml:space="preserve">Class A - Non-RPP </t>
  </si>
  <si>
    <t>Class B - Non-RPP</t>
  </si>
  <si>
    <t>Price Difference</t>
  </si>
  <si>
    <t>Commodity  (Wholesale)</t>
  </si>
  <si>
    <t>GA (Wholesale)</t>
  </si>
  <si>
    <t>1st Estimate GA</t>
  </si>
  <si>
    <t>Quantity</t>
  </si>
  <si>
    <t>Price</t>
  </si>
  <si>
    <t>Total Wholesale Cost</t>
  </si>
  <si>
    <t>Explanation</t>
  </si>
  <si>
    <t>Total</t>
  </si>
  <si>
    <t>Originally recorded</t>
  </si>
  <si>
    <t>$ Estimated RPP Settlement</t>
  </si>
  <si>
    <t>$ RPP Settlement True-UP</t>
  </si>
  <si>
    <t>$ Actual RPP Revenue</t>
  </si>
  <si>
    <t>JE#</t>
  </si>
  <si>
    <t>Account 4707 - GA Charges</t>
  </si>
  <si>
    <t>Billings Energy Sales Accounts 4006-4055</t>
  </si>
  <si>
    <t>Billings Energy Sales Sub Accounts GA 4006-4055</t>
  </si>
  <si>
    <t>Account 1588 - RSVA Power</t>
  </si>
  <si>
    <t>Account 1589 - RSVA GA</t>
  </si>
  <si>
    <t>Notes</t>
  </si>
  <si>
    <t>JE #4 - IESO Cost of Power Reversal</t>
  </si>
  <si>
    <t>Cr. Account 1589 RSVA GA</t>
  </si>
  <si>
    <t>JE #5 - Reversal of Revenue Estimate Accrual</t>
  </si>
  <si>
    <t>JE #6 - IESO Cost of Power Invoice</t>
  </si>
  <si>
    <t>Dr. Account 1589 RSVA GA</t>
  </si>
  <si>
    <t>Dr. Account 1588 RSVA Power</t>
  </si>
  <si>
    <t>Table 12A: Estimated Retail Volume Revenue Data (TLF Included)</t>
  </si>
  <si>
    <t>Amount Unbilled</t>
  </si>
  <si>
    <t>Amount billed</t>
  </si>
  <si>
    <t>Cr. Billings Energy Sales Accounts 4006-4055 non-RPP - unbilled</t>
  </si>
  <si>
    <t>Cr. Billings Energy Sales Accounts 4006-4055 Class B non-RPP GA - unbilled</t>
  </si>
  <si>
    <t>e</t>
  </si>
  <si>
    <t>f</t>
  </si>
  <si>
    <t>Cr. Account 1588 RSVA Power</t>
  </si>
  <si>
    <t>Cr. Account 1589 - RSVA GA</t>
  </si>
  <si>
    <t>Balance recorded</t>
  </si>
  <si>
    <t>Cr. Account 4707 - GA Charges</t>
  </si>
  <si>
    <r>
      <t>AQEW</t>
    </r>
    <r>
      <rPr>
        <b/>
        <vertAlign val="superscript"/>
        <sz val="11"/>
        <color theme="1"/>
        <rFont val="Calibri"/>
        <family val="2"/>
        <scheme val="minor"/>
      </rPr>
      <t>1</t>
    </r>
  </si>
  <si>
    <r>
      <t>Embedded Generation</t>
    </r>
    <r>
      <rPr>
        <b/>
        <vertAlign val="superscript"/>
        <sz val="11"/>
        <color theme="1"/>
        <rFont val="Calibri"/>
        <family val="2"/>
        <scheme val="minor"/>
      </rPr>
      <t>2</t>
    </r>
  </si>
  <si>
    <r>
      <t>Table 3: Estimated Retail Volume Revenue Data (TLF Included)</t>
    </r>
    <r>
      <rPr>
        <b/>
        <vertAlign val="superscript"/>
        <sz val="10"/>
        <color theme="1"/>
        <rFont val="Calibri"/>
        <family val="2"/>
        <scheme val="minor"/>
      </rPr>
      <t>3</t>
    </r>
  </si>
  <si>
    <t>Charge Type 1412 - FIT Program Settlement Amount - 4705</t>
  </si>
  <si>
    <t>Actual Payments to Embedded Generators - 4705</t>
  </si>
  <si>
    <t>Actual cost of power</t>
  </si>
  <si>
    <r>
      <t>Estimated Payments to Embedded Generators - 4705</t>
    </r>
    <r>
      <rPr>
        <b/>
        <vertAlign val="superscript"/>
        <sz val="11"/>
        <color theme="1"/>
        <rFont val="Calibri"/>
        <family val="2"/>
        <scheme val="minor"/>
      </rPr>
      <t>4</t>
    </r>
  </si>
  <si>
    <r>
      <t>Charge Type 147 - non-RPP Class A - 4707</t>
    </r>
    <r>
      <rPr>
        <b/>
        <vertAlign val="superscript"/>
        <sz val="11"/>
        <color theme="1"/>
        <rFont val="Calibri"/>
        <family val="2"/>
        <scheme val="minor"/>
      </rPr>
      <t>5</t>
    </r>
  </si>
  <si>
    <r>
      <t>Charge Type 1412 - FIT Program Settlement Amount - 4705</t>
    </r>
    <r>
      <rPr>
        <b/>
        <vertAlign val="superscript"/>
        <sz val="11"/>
        <color theme="1"/>
        <rFont val="Calibri"/>
        <family val="2"/>
        <scheme val="minor"/>
      </rPr>
      <t>6</t>
    </r>
  </si>
  <si>
    <r>
      <t>Estimated Average Energy Price for non-RPP customers</t>
    </r>
    <r>
      <rPr>
        <b/>
        <vertAlign val="superscript"/>
        <sz val="11"/>
        <color theme="1"/>
        <rFont val="Calibri"/>
        <family val="2"/>
        <scheme val="minor"/>
      </rPr>
      <t>7</t>
    </r>
    <r>
      <rPr>
        <sz val="11"/>
        <color theme="1"/>
        <rFont val="Calibri"/>
        <family val="2"/>
        <scheme val="minor"/>
      </rPr>
      <t xml:space="preserve">  </t>
    </r>
  </si>
  <si>
    <r>
      <t>Class B - GA actual</t>
    </r>
    <r>
      <rPr>
        <b/>
        <vertAlign val="superscript"/>
        <sz val="11"/>
        <color theme="1"/>
        <rFont val="Calibri"/>
        <family val="2"/>
        <scheme val="minor"/>
      </rPr>
      <t>8</t>
    </r>
  </si>
  <si>
    <r>
      <t>Class B - GA actual IESO billed</t>
    </r>
    <r>
      <rPr>
        <b/>
        <vertAlign val="superscript"/>
        <sz val="11"/>
        <color theme="1"/>
        <rFont val="Calibri"/>
        <family val="2"/>
        <scheme val="minor"/>
      </rPr>
      <t>9</t>
    </r>
  </si>
  <si>
    <r>
      <t>Charge Type 147 - non-RPP Class A - 4707</t>
    </r>
    <r>
      <rPr>
        <b/>
        <vertAlign val="superscript"/>
        <sz val="11"/>
        <color theme="1"/>
        <rFont val="Calibri"/>
        <family val="2"/>
        <scheme val="minor"/>
      </rPr>
      <t>10</t>
    </r>
  </si>
  <si>
    <t>Embedded Generation</t>
  </si>
  <si>
    <t>AQEW</t>
  </si>
  <si>
    <t>Class A customer Volumes for GA (TLF included)</t>
  </si>
  <si>
    <t>Cr. Account 4705 - Power Purchased (CT 1412)</t>
  </si>
  <si>
    <t>JE #12- Actual Revenue Entries</t>
  </si>
  <si>
    <t>JE #13 - RPP Settlement 2nd True-up</t>
  </si>
  <si>
    <t>JE #14 - RPP/non-RPP ratio True-Up</t>
  </si>
  <si>
    <t>Table 2: Estimated Volumes purchased for RPP Customers (TLF Included)</t>
  </si>
  <si>
    <t>Table 11: Updated estimated Volumes purchased for RPP Customers (TLF Included)</t>
  </si>
  <si>
    <t>Table 23: Actual Volumes purchased for RPP Customers (TLF Included)</t>
  </si>
  <si>
    <t>Table 24: Actual Retail Volume Revenue Data (TLF included)</t>
  </si>
  <si>
    <t>Table 29: non-RPP Actual Revenue</t>
  </si>
  <si>
    <t>Table 31: Estimated RPP Revenue &amp; Actual GA price</t>
  </si>
  <si>
    <t>Table 32 Final Revised RPP Settlement based on Actual RPP Revenue and Actual GA Price</t>
  </si>
  <si>
    <t>Table 33: True-up of RPP Volumes and Revenue and GA price to actual</t>
  </si>
  <si>
    <t>Table 34: RPP GA Allocation Adjustment</t>
  </si>
  <si>
    <t>Table 10: Wholesale Volume data per IESO Power Bill</t>
  </si>
  <si>
    <t>Table 14: Commodity Price Data</t>
  </si>
  <si>
    <t>Table 17: non-RPP Estimated Revenue</t>
  </si>
  <si>
    <t>Dr. Account 4705 - Power Purchased (CT 1412)</t>
  </si>
  <si>
    <t>Cr. Account 4705 - Power Purchased  from Embedded Generators</t>
  </si>
  <si>
    <t>Cr. Billings Energy Sales Accounts 4006-4055 RPP - unbilled</t>
  </si>
  <si>
    <r>
      <t>Dr. Account 4705 - Power Purchased  from Embedded Generators</t>
    </r>
    <r>
      <rPr>
        <vertAlign val="superscript"/>
        <sz val="11"/>
        <color theme="1"/>
        <rFont val="Calibri"/>
        <family val="2"/>
        <scheme val="minor"/>
      </rPr>
      <t>1</t>
    </r>
  </si>
  <si>
    <r>
      <t xml:space="preserve">Dr. Account 4705 - Actual Payments to Embedded Generators </t>
    </r>
    <r>
      <rPr>
        <vertAlign val="superscript"/>
        <sz val="11"/>
        <color theme="1"/>
        <rFont val="Calibri"/>
        <family val="2"/>
        <scheme val="minor"/>
      </rPr>
      <t>2</t>
    </r>
  </si>
  <si>
    <t>Billed Data Support</t>
  </si>
  <si>
    <t>Estimated Non-RPP power sales volumes and revenues</t>
  </si>
  <si>
    <t>Estimated RPP power sales volumes and revenues</t>
  </si>
  <si>
    <t>Updated Estimated RPP power sales volumes and revenues</t>
  </si>
  <si>
    <t>Updated Estimated Non-RPP power sales volumes and revenues</t>
  </si>
  <si>
    <t>Actual RPP power sales volumes and revenues</t>
  </si>
  <si>
    <t>Actual Non-RPP power sales volumes and revenues</t>
  </si>
  <si>
    <t>Dr. Billings Energy Sales Accounts 4006-4055 Non-RPP GA</t>
  </si>
  <si>
    <t>JE #7 - RPP Settlement 1st True-Up</t>
  </si>
  <si>
    <t>Pre IESO Bill balance</t>
  </si>
  <si>
    <t>Revenue - Energy Sales (Tables 28 &amp; 29)</t>
  </si>
  <si>
    <t>Revenue - GA (Table 29)</t>
  </si>
  <si>
    <t>Costs - 4705 (Table 27)</t>
  </si>
  <si>
    <t>GA Costs - 4707 (Table 27)</t>
  </si>
  <si>
    <t>Customer Group</t>
  </si>
  <si>
    <t>Price Variance</t>
  </si>
  <si>
    <t>Volume Variance</t>
  </si>
  <si>
    <t>Class B - RPP</t>
  </si>
  <si>
    <t>Class B  - RPP</t>
  </si>
  <si>
    <t>Balance Per DVA Continuity</t>
  </si>
  <si>
    <t>Retail vs Wholesale Price Variances</t>
  </si>
  <si>
    <t>Retail GA Price Billed vs Wholesale GA Actual Price paid to IESO</t>
  </si>
  <si>
    <t>1588 - RSVA Power - Balance Explanation</t>
  </si>
  <si>
    <t>1589 - RSVA GA - Balance Explanation</t>
  </si>
  <si>
    <t>Balance Explained</t>
  </si>
  <si>
    <t>Variance - Type</t>
  </si>
  <si>
    <t>GA Wholesale kWh Volumes</t>
  </si>
  <si>
    <t>Energy Wholesale kWh Volumes</t>
  </si>
  <si>
    <t>Energy Retail kWh Volumes</t>
  </si>
  <si>
    <t>GA Retail
kWh Volumes</t>
  </si>
  <si>
    <t>Table 37 - Total Energy and GA Revenue</t>
  </si>
  <si>
    <t>Table 38 - Account 4705 Total Commodity Costs</t>
  </si>
  <si>
    <t>Table 39 - Account 4705 Total GA Costs</t>
  </si>
  <si>
    <t>Table 40 - Account 1588 Balance Explanation</t>
  </si>
  <si>
    <t>Table 41 - Account 1589 Balance Explanation</t>
  </si>
  <si>
    <t>Summary and Explanation of Final Balances of RSVA 1588 and 1589</t>
  </si>
  <si>
    <t>Volume Data by Customer Group</t>
  </si>
  <si>
    <r>
      <rPr>
        <b/>
        <sz val="11"/>
        <color theme="1"/>
        <rFont val="Calibri"/>
        <family val="2"/>
        <scheme val="minor"/>
      </rPr>
      <t xml:space="preserve">Amount </t>
    </r>
    <r>
      <rPr>
        <b/>
        <vertAlign val="superscript"/>
        <sz val="11"/>
        <color theme="1"/>
        <rFont val="Calibri"/>
        <family val="2"/>
        <scheme val="minor"/>
      </rPr>
      <t>12</t>
    </r>
  </si>
  <si>
    <r>
      <t>GA Actual</t>
    </r>
    <r>
      <rPr>
        <b/>
        <vertAlign val="superscript"/>
        <sz val="11"/>
        <color theme="1"/>
        <rFont val="Calibri"/>
        <family val="2"/>
        <scheme val="minor"/>
      </rPr>
      <t>13</t>
    </r>
  </si>
  <si>
    <r>
      <rPr>
        <vertAlign val="superscript"/>
        <sz val="11"/>
        <color theme="1"/>
        <rFont val="Calibri"/>
        <family val="2"/>
        <scheme val="minor"/>
      </rPr>
      <t>13</t>
    </r>
    <r>
      <rPr>
        <sz val="11"/>
        <color theme="1"/>
        <rFont val="Calibri"/>
        <family val="2"/>
        <scheme val="minor"/>
      </rPr>
      <t xml:space="preserve"> - Settlement Based on Actual unit GA billed by the IESO (not the Actual GA posted Rate)</t>
    </r>
  </si>
  <si>
    <r>
      <t>Table 25: Actual RPP Revenue Volume and Price Data</t>
    </r>
    <r>
      <rPr>
        <b/>
        <vertAlign val="superscript"/>
        <sz val="10"/>
        <color theme="1"/>
        <rFont val="Calibri"/>
        <family val="2"/>
        <scheme val="minor"/>
      </rPr>
      <t>14</t>
    </r>
  </si>
  <si>
    <r>
      <t>Charge Type 148 - RPP - 4705</t>
    </r>
    <r>
      <rPr>
        <b/>
        <vertAlign val="superscript"/>
        <sz val="11"/>
        <color theme="1"/>
        <rFont val="Calibri"/>
        <family val="2"/>
        <scheme val="minor"/>
      </rPr>
      <t>15</t>
    </r>
  </si>
  <si>
    <r>
      <t>Charge Type 148 - non-RPP - 4707</t>
    </r>
    <r>
      <rPr>
        <b/>
        <vertAlign val="superscript"/>
        <sz val="11"/>
        <color theme="1"/>
        <rFont val="Calibri"/>
        <family val="2"/>
        <scheme val="minor"/>
      </rPr>
      <t>15</t>
    </r>
  </si>
  <si>
    <r>
      <t>Actuals</t>
    </r>
    <r>
      <rPr>
        <b/>
        <vertAlign val="superscript"/>
        <sz val="11"/>
        <color theme="1"/>
        <rFont val="Calibri"/>
        <family val="2"/>
        <scheme val="minor"/>
      </rPr>
      <t>17</t>
    </r>
  </si>
  <si>
    <t>Final Purchased Price</t>
  </si>
  <si>
    <t>Actual GA IESO Bill Price</t>
  </si>
  <si>
    <t>Final IESO RPP Settlement</t>
  </si>
  <si>
    <t>Retail vs Wholesale Volume Variance - (UFE differences)</t>
  </si>
  <si>
    <t>Dr. Billings Energy Sales Accounts 4006-4055  Sub-account GA</t>
  </si>
  <si>
    <t>RPP Price/kWh</t>
  </si>
  <si>
    <t>Table 17: Updated non-RPP Energy and GA Revenue Accrual</t>
  </si>
  <si>
    <t>RPP Price</t>
  </si>
  <si>
    <t>Table 9: Estimated average unit cost of power sold for RPP &amp; non-RPP for Initial Settlement</t>
  </si>
  <si>
    <t>Table 18: Updated Estimated Average unit cost of power sold for RPP &amp; non-RPP for 1st True-up</t>
  </si>
  <si>
    <t>Standard TOU Off-peak</t>
  </si>
  <si>
    <t>Standard TOU Mid-peak</t>
  </si>
  <si>
    <t>Standard TOU On-peak</t>
  </si>
  <si>
    <t>ULO Weekend Off-peak</t>
  </si>
  <si>
    <t>ULO Mid-peak</t>
  </si>
  <si>
    <t>ULO On-peak</t>
  </si>
  <si>
    <t>ULO Ultra-Low Overnight</t>
  </si>
  <si>
    <t>7 -  Unit energy price for Class B non-RPP customers remains the same until actual sales data available.
8 -  Where there is a difference between the Class B GA actual posted rate and the Charge Type 148 - Class B GA Actual IESO billed price then 
      such difference should be confirmed with the IESO.
9  -  Actual GA billed price based on actual charges for CT 148 on IESO invoice divided by actual wholesale volumes.
10 - Actual GA billed price based on actual charges for CT 147 on IESO invoice.
11 - This is the initial RPP Settlement amount. 
12 -  The unit cost for RPP customers is updated due to the change in Commodity Costs paid to the IESO. It is assumed that the unit cost of 
        power for Non-RPP customers remains the same as what was used in the initial RPP settlement. The unit cost of power for RPP 
        customers is a derived residual amount. The difference between the Commodity cost paid to the IESO and the Commodity cost relating to 
        RPP customers pertains to the unaccounted for energy.</t>
  </si>
  <si>
    <r>
      <t xml:space="preserve">1 - Allocated Quantity of Energy </t>
    </r>
    <r>
      <rPr>
        <sz val="11"/>
        <rFont val="Calibri"/>
        <family val="2"/>
        <scheme val="minor"/>
      </rPr>
      <t>Withdrawn</t>
    </r>
    <r>
      <rPr>
        <sz val="11"/>
        <color theme="1"/>
        <rFont val="Calibri"/>
        <family val="2"/>
        <scheme val="minor"/>
      </rPr>
      <t xml:space="preserve"> (AQEW) is the aggregate kWh energy withdrawn by a distributor from the
     transmission grid based on quantities as per delivery point energy totalization tables.
2 - The aggregate kWh's generated by embedded generators in the distributors service territory during the month, net 
      of generated quantities injected into the transmission grid. 
3 - Total estimated Class B RPP &amp; non-RPP kWh volumes used for RPP settlement purposes must be consistent with the 
     billings minus the previous months unbilled revenue plus the current month's unbilled revenues implicit in GL 4006 - 
     4055 for the month.
4 -Based on the aggregate amounts to be paid to the embedded generator.
5 - Class A GA is the sum of amounts for each Class A customer as calculated by multiplying the customer specific peak 
     demand factor by the provincial actual total GA dollars.
6 - Based on difference between amounts paid to the embedded generator and the wholesale market cost of power 
     amount to be used in embedded generator settlement with the IESO.</t>
    </r>
  </si>
  <si>
    <t>$ Final RPP Settlement</t>
  </si>
  <si>
    <t>JE #8 - Revenue Billed in January for December consumption</t>
  </si>
  <si>
    <t>Cr. Account 4705 - FIT program settlement amount (CT 1412)</t>
  </si>
  <si>
    <r>
      <t>Purple</t>
    </r>
    <r>
      <rPr>
        <sz val="12"/>
        <color theme="1"/>
        <rFont val="Calibri"/>
        <family val="2"/>
        <scheme val="minor"/>
      </rPr>
      <t xml:space="preserve"> font - Data input change </t>
    </r>
  </si>
  <si>
    <r>
      <t>Red</t>
    </r>
    <r>
      <rPr>
        <sz val="12"/>
        <color theme="1"/>
        <rFont val="Calibri"/>
        <family val="2"/>
        <scheme val="minor"/>
      </rPr>
      <t xml:space="preserve"> font - Changes that cascade from the purple font changes due to formulas</t>
    </r>
  </si>
  <si>
    <r>
      <t xml:space="preserve">Green </t>
    </r>
    <r>
      <rPr>
        <sz val="12"/>
        <color theme="1"/>
        <rFont val="Calibri"/>
        <family val="2"/>
        <scheme val="minor"/>
      </rPr>
      <t>font – Date changes</t>
    </r>
  </si>
  <si>
    <t>Colour schemes used for the updates:</t>
  </si>
  <si>
    <t xml:space="preserve">utiity zone billing system </t>
  </si>
  <si>
    <t>$ Price Difference</t>
  </si>
  <si>
    <t>Non-RPP</t>
  </si>
  <si>
    <t>$ RPP Settlement True-up</t>
  </si>
  <si>
    <t>Positive = A/R
Negative = A/P</t>
  </si>
  <si>
    <t>Charge Type 1115 - 4705</t>
  </si>
  <si>
    <t>Embedded generation</t>
  </si>
  <si>
    <t>Dr. Account 4705 - Power Purchased  (CT 1115)</t>
  </si>
  <si>
    <t>Cr. Account 4705 - Power Purchased  (CT 1115)</t>
  </si>
  <si>
    <t>Updates for MRP</t>
  </si>
  <si>
    <t>Table 18: Updated estimated average unit cost of power sold for RPP &amp; non-RPP for 1st True-up</t>
  </si>
  <si>
    <t>Table 30: Actual average unit cost of power sold for RPP &amp; non-RPP for 2nd True-up</t>
  </si>
  <si>
    <t>Estimated DAM OZP</t>
  </si>
  <si>
    <t>Total Estimated Average Preliminary Price</t>
  </si>
  <si>
    <r>
      <t xml:space="preserve">Updated Average Price Based on IESO Invoiced Prices </t>
    </r>
    <r>
      <rPr>
        <b/>
        <sz val="11"/>
        <rFont val="Calibri"/>
        <family val="2"/>
        <scheme val="minor"/>
      </rPr>
      <t>*</t>
    </r>
  </si>
  <si>
    <t>Estimated RPP power purchases volumes and costs</t>
  </si>
  <si>
    <t>Estimated Non-RPP power purchases volumes and costs</t>
  </si>
  <si>
    <t>Actual RPP power purchases volumes and costs</t>
  </si>
  <si>
    <t>Actual Non-RPP power purchases volumes and costs</t>
  </si>
  <si>
    <t>* - Updated average price based on ratio of IESO invoice price divided by estimated price</t>
  </si>
  <si>
    <t>Average Unit Cost of Energy</t>
  </si>
  <si>
    <t>Preliminary Settlement Statement DAM OZP IESO</t>
  </si>
  <si>
    <t>(For reconciliation purposes)</t>
  </si>
  <si>
    <r>
      <rPr>
        <sz val="12"/>
        <rFont val="Calibri"/>
        <family val="2"/>
        <scheme val="minor"/>
      </rPr>
      <t>Blue</t>
    </r>
    <r>
      <rPr>
        <sz val="12"/>
        <color theme="1"/>
        <rFont val="Calibri"/>
        <family val="2"/>
        <scheme val="minor"/>
      </rPr>
      <t xml:space="preserve"> cell fill - changes to the model</t>
    </r>
  </si>
  <si>
    <t>Charge Type 142 - RPP - 4705 - RPP Settlement - Day 4 Settlement</t>
  </si>
  <si>
    <t>Charge Type 142 - RPP - 4705 - RPP Settlement - Initial Settlement Amount</t>
  </si>
  <si>
    <t>Charge Type 142 - RPP - 4705 - RPP Settlement - Final Settlement Amount16</t>
  </si>
  <si>
    <t>Dr. Account 4705 - Power Purchased (CT 142)</t>
  </si>
  <si>
    <t>Cr. Account 4705 - Power Purchased (CT 142)</t>
  </si>
  <si>
    <t>Month</t>
  </si>
  <si>
    <t>Total Activity in Calendar Year</t>
  </si>
  <si>
    <r>
      <t>Transactions</t>
    </r>
    <r>
      <rPr>
        <b/>
        <vertAlign val="subscript"/>
        <sz val="11"/>
        <color theme="1"/>
        <rFont val="Calibri"/>
        <family val="2"/>
        <scheme val="minor"/>
      </rPr>
      <t>1</t>
    </r>
  </si>
  <si>
    <r>
      <t>Principal Adjustments</t>
    </r>
    <r>
      <rPr>
        <b/>
        <vertAlign val="subscript"/>
        <sz val="11"/>
        <color theme="1"/>
        <rFont val="Calibri"/>
        <family val="2"/>
        <scheme val="minor"/>
      </rPr>
      <t>1</t>
    </r>
  </si>
  <si>
    <t>Account 1588 as % of Account 4705</t>
  </si>
  <si>
    <t>Current</t>
  </si>
  <si>
    <t>Check</t>
  </si>
  <si>
    <t>Table 9A: Estimated average unit cost of power purchased for RPP &amp; non-RPP for Initial Settlement</t>
  </si>
  <si>
    <t>Table 30A:  Actual average unit cost of power purchased for RPP &amp; non-RPP for 2nd True-up</t>
  </si>
  <si>
    <t>Table 35B: GA Analysis Workform Account 1588 Reasonability Test</t>
  </si>
  <si>
    <t>Table 35C: GA Analysis Workform Account 1589 Reasonability Test</t>
  </si>
  <si>
    <t>Calendar Month</t>
  </si>
  <si>
    <t>Non-RPP Class B including Loss Factor Billed Consumption (kWh)</t>
  </si>
  <si>
    <t>Deduct Previous Month Unbilled Loss Adjusted Consumption (kWh)</t>
  </si>
  <si>
    <t>Non-RPP Class B including Loss Adjusted Consumption, Adjusted for Unbilled (kWh)</t>
  </si>
  <si>
    <t>GA Rate Billed ($/kWh)</t>
  </si>
  <si>
    <t>$ Consumption at GA Rate Billed</t>
  </si>
  <si>
    <t>GA Actual Rate Paid ($/kWh)</t>
  </si>
  <si>
    <t>$Consumption at Actual Rated aPaid</t>
  </si>
  <si>
    <t>Expected GA Price Variance ($)</t>
  </si>
  <si>
    <t>F</t>
  </si>
  <si>
    <t>G</t>
  </si>
  <si>
    <t>H</t>
  </si>
  <si>
    <t>I = F-G+H</t>
  </si>
  <si>
    <t>J</t>
  </si>
  <si>
    <t>K - I*J</t>
  </si>
  <si>
    <t>L</t>
  </si>
  <si>
    <t>M - I*L</t>
  </si>
  <si>
    <t>Add Current Month Unbilled Loss Adjusted Consumption (kWh)</t>
  </si>
  <si>
    <t>N = M-K</t>
  </si>
  <si>
    <t>Current month</t>
  </si>
  <si>
    <t>Net Change in Principal Balance in the GL</t>
  </si>
  <si>
    <t>Adjustments:</t>
  </si>
  <si>
    <t>Adjusted Net Change in Principal Balance in the GL</t>
  </si>
  <si>
    <t>Net Change in Expected GA Balance in the Year Per Analysis</t>
  </si>
  <si>
    <t>Unresolved difference</t>
  </si>
  <si>
    <t>Unresolved Difference as % of Expected GA Payments to IESO</t>
  </si>
  <si>
    <t>Load transfers</t>
  </si>
  <si>
    <t>Other</t>
  </si>
  <si>
    <t xml:space="preserve">Table 13A: Billed and Unbilled RPP Revenue Volume and Price Data for December consumption </t>
  </si>
  <si>
    <t xml:space="preserve">Table 16A: RPP Commodity Revenue Billed/Unbilled for December consumption </t>
  </si>
  <si>
    <t>Table 17A: Non-RPP Energy and GA Revenue Billed/Unbilled for December consumption</t>
  </si>
  <si>
    <t>JE #3 - December RSVA Entry</t>
  </si>
  <si>
    <t>JE #9 - Unbilled Revenue accrued for December consumption</t>
  </si>
  <si>
    <t>Billed in January</t>
  </si>
  <si>
    <t>JE #10 - January RSVA Entry</t>
  </si>
  <si>
    <t>JE #11 - Reversal of Unbilled revenue recorded in January for December consumption</t>
  </si>
  <si>
    <t>JE #15 - February RSVA Entry</t>
  </si>
  <si>
    <t>Billed in February</t>
  </si>
  <si>
    <r>
      <t xml:space="preserve">Per </t>
    </r>
    <r>
      <rPr>
        <b/>
        <sz val="11"/>
        <color rgb="FF00B050"/>
        <rFont val="Calibri"/>
        <family val="2"/>
        <scheme val="minor"/>
      </rPr>
      <t>December 31,</t>
    </r>
    <r>
      <rPr>
        <b/>
        <sz val="11"/>
        <rFont val="Calibri"/>
        <family val="2"/>
        <scheme val="minor"/>
      </rPr>
      <t xml:space="preserve"> </t>
    </r>
    <r>
      <rPr>
        <b/>
        <sz val="11"/>
        <color rgb="FF00B050"/>
        <rFont val="Calibri"/>
        <family val="2"/>
        <scheme val="minor"/>
      </rPr>
      <t>2025</t>
    </r>
    <r>
      <rPr>
        <b/>
        <sz val="11"/>
        <color theme="1"/>
        <rFont val="Calibri"/>
        <family val="2"/>
        <scheme val="minor"/>
      </rPr>
      <t xml:space="preserve"> G/L</t>
    </r>
  </si>
  <si>
    <r>
      <t>If Books Open and IESO Bill Posted to</t>
    </r>
    <r>
      <rPr>
        <b/>
        <sz val="11"/>
        <rFont val="Calibri"/>
        <family val="2"/>
        <scheme val="minor"/>
      </rPr>
      <t xml:space="preserve"> December 31, </t>
    </r>
    <r>
      <rPr>
        <b/>
        <sz val="11"/>
        <color rgb="FF00B050"/>
        <rFont val="Calibri"/>
        <family val="2"/>
        <scheme val="minor"/>
      </rPr>
      <t>2025</t>
    </r>
    <r>
      <rPr>
        <b/>
        <sz val="11"/>
        <color theme="1"/>
        <rFont val="Calibri"/>
        <family val="2"/>
        <scheme val="minor"/>
      </rPr>
      <t xml:space="preserve"> G/L, no DVA Continuity Adjustment</t>
    </r>
  </si>
  <si>
    <r>
      <t>Not Posted to</t>
    </r>
    <r>
      <rPr>
        <b/>
        <sz val="11"/>
        <color rgb="FF00B050"/>
        <rFont val="Calibri"/>
        <family val="2"/>
        <scheme val="minor"/>
      </rPr>
      <t xml:space="preserve"> December 31,</t>
    </r>
    <r>
      <rPr>
        <b/>
        <sz val="11"/>
        <rFont val="Calibri"/>
        <family val="2"/>
        <scheme val="minor"/>
      </rPr>
      <t xml:space="preserve"> </t>
    </r>
    <r>
      <rPr>
        <b/>
        <sz val="11"/>
        <color rgb="FF00B050"/>
        <rFont val="Calibri"/>
        <family val="2"/>
        <scheme val="minor"/>
      </rPr>
      <t>2025</t>
    </r>
    <r>
      <rPr>
        <b/>
        <sz val="11"/>
        <color theme="1"/>
        <rFont val="Calibri"/>
        <family val="2"/>
        <scheme val="minor"/>
      </rPr>
      <t xml:space="preserve"> G/L, DVA Continuity Adjustment needed</t>
    </r>
  </si>
  <si>
    <r>
      <t>Not Posted to</t>
    </r>
    <r>
      <rPr>
        <b/>
        <sz val="11"/>
        <color theme="7" tint="-0.249977111117893"/>
        <rFont val="Calibri"/>
        <family val="2"/>
        <scheme val="minor"/>
      </rPr>
      <t xml:space="preserve"> </t>
    </r>
    <r>
      <rPr>
        <b/>
        <sz val="11"/>
        <color rgb="FF00B050"/>
        <rFont val="Calibri"/>
        <family val="2"/>
        <scheme val="minor"/>
      </rPr>
      <t>December 31, 2025</t>
    </r>
    <r>
      <rPr>
        <b/>
        <sz val="11"/>
        <color theme="1"/>
        <rFont val="Calibri"/>
        <family val="2"/>
        <scheme val="minor"/>
      </rPr>
      <t xml:space="preserve"> G/L, DVA Continuity Adjustment needed</t>
    </r>
  </si>
  <si>
    <r>
      <t>Not Posted to</t>
    </r>
    <r>
      <rPr>
        <b/>
        <sz val="11"/>
        <color theme="7" tint="-0.249977111117893"/>
        <rFont val="Calibri"/>
        <family val="2"/>
        <scheme val="minor"/>
      </rPr>
      <t xml:space="preserve"> </t>
    </r>
    <r>
      <rPr>
        <b/>
        <sz val="11"/>
        <color rgb="FF00B050"/>
        <rFont val="Calibri"/>
        <family val="2"/>
        <scheme val="minor"/>
      </rPr>
      <t>December 31,</t>
    </r>
    <r>
      <rPr>
        <b/>
        <sz val="11"/>
        <rFont val="Calibri"/>
        <family val="2"/>
        <scheme val="minor"/>
      </rPr>
      <t xml:space="preserve"> </t>
    </r>
    <r>
      <rPr>
        <b/>
        <sz val="11"/>
        <color rgb="FF00B050"/>
        <rFont val="Calibri"/>
        <family val="2"/>
        <scheme val="minor"/>
      </rPr>
      <t>2025</t>
    </r>
    <r>
      <rPr>
        <b/>
        <sz val="11"/>
        <color theme="1"/>
        <rFont val="Calibri"/>
        <family val="2"/>
        <scheme val="minor"/>
      </rPr>
      <t xml:space="preserve"> G/L, DVA Continuity Adjustment needed</t>
    </r>
  </si>
  <si>
    <r>
      <t>Table 35: DVA Continuity Schedule adjustments at</t>
    </r>
    <r>
      <rPr>
        <b/>
        <sz val="11"/>
        <color rgb="FF00B050"/>
        <rFont val="Calibri"/>
        <family val="2"/>
        <scheme val="minor"/>
      </rPr>
      <t xml:space="preserve"> December 31,</t>
    </r>
    <r>
      <rPr>
        <b/>
        <sz val="11"/>
        <rFont val="Calibri"/>
        <family val="2"/>
        <scheme val="minor"/>
      </rPr>
      <t xml:space="preserve"> </t>
    </r>
    <r>
      <rPr>
        <b/>
        <sz val="11"/>
        <color rgb="FF00B050"/>
        <rFont val="Calibri"/>
        <family val="2"/>
        <scheme val="minor"/>
      </rPr>
      <t>2025</t>
    </r>
  </si>
  <si>
    <t>December 31, 2025</t>
  </si>
  <si>
    <r>
      <t>To record the monthly RSVA entry for December</t>
    </r>
    <r>
      <rPr>
        <sz val="11"/>
        <color rgb="FF00B050"/>
        <rFont val="Calibri"/>
        <family val="2"/>
        <scheme val="minor"/>
      </rPr>
      <t xml:space="preserve"> 2025</t>
    </r>
    <r>
      <rPr>
        <sz val="11"/>
        <color theme="1"/>
        <rFont val="Calibri"/>
        <family val="2"/>
        <scheme val="minor"/>
      </rPr>
      <t>. No entry to Account 1588 as revenues and costs are equal.</t>
    </r>
  </si>
  <si>
    <t>Total for December 2025</t>
  </si>
  <si>
    <t>Subtotal for December 2025</t>
  </si>
  <si>
    <r>
      <t xml:space="preserve">Total Unbilled </t>
    </r>
    <r>
      <rPr>
        <sz val="11"/>
        <color rgb="FF00B050"/>
        <rFont val="Calibri"/>
        <family val="2"/>
        <scheme val="minor"/>
      </rPr>
      <t>January 31, 2026</t>
    </r>
  </si>
  <si>
    <t>Non-RPP Variance Day 4 March 2026 due to customer billings at preliminary pricing and purchases at IESO billed price</t>
  </si>
  <si>
    <t>Embedded Generation variance Day 4 March 2026 due to payments made at preliminary pricing and purchases at IESO billed price</t>
  </si>
  <si>
    <t>January 31, 2026</t>
  </si>
  <si>
    <t>Total for January 2026</t>
  </si>
  <si>
    <t>Subtotal for February 2026</t>
  </si>
  <si>
    <t>Total for February 2026</t>
  </si>
  <si>
    <t>Subtotal for January 2026</t>
  </si>
  <si>
    <t>January 1, 2026</t>
  </si>
  <si>
    <t>January 15, 2026</t>
  </si>
  <si>
    <t>February 1, 2026</t>
  </si>
  <si>
    <t>February 28, 2026</t>
  </si>
  <si>
    <t>The average unit cost of energy has been calculated based upon the power accrual estimate and  IESO invoice charges for payments made to embedded generators, CT 1115 &amp; CT 1412</t>
  </si>
  <si>
    <t>Tables 9A, 18A &amp; 30A have been added to show the calculation of average unit cost of power split between RPP and non-RPP customers</t>
  </si>
  <si>
    <t>Tables 42 &amp; 43 have been added to quantify the differences between preliminary pricing and final IESO invoice price for non-RPP customers and embedded generators to assist with reconciliation of change in a/c 1588 as a percentage of the cost of power.</t>
  </si>
  <si>
    <t>Dates have been updated based on the assumption that the example data is for the month of December 2025.</t>
  </si>
  <si>
    <t>Table 18A: Updated actual average unit cost of power purchased for RPP &amp; non-RPP for 1st True-up</t>
  </si>
  <si>
    <t>14 - Volumes related to each RPP price point for Revenue based on actual consumption during calendar month.
15 - Updated GA for RPP and non-RPP class B customers based on actual proportions for RPP and non-RPP Class B customers.
16 - This is the updated cumulative RPP Settlement amount. The true up element of this amount will be incorporated into Charge 
       Type 142 in the RPP settlement with the IESO for February or March on day four of February or March.</t>
  </si>
  <si>
    <r>
      <t xml:space="preserve">Data for Initial RPP Settlement based on Estimates on Day 4 </t>
    </r>
    <r>
      <rPr>
        <b/>
        <sz val="14"/>
        <color rgb="FF00B050"/>
        <rFont val="Calibri"/>
        <family val="2"/>
        <scheme val="minor"/>
      </rPr>
      <t>January 6, 2026</t>
    </r>
    <r>
      <rPr>
        <b/>
        <sz val="14"/>
        <color theme="1"/>
        <rFont val="Calibri"/>
        <family val="2"/>
        <scheme val="minor"/>
      </rPr>
      <t>:</t>
    </r>
  </si>
  <si>
    <r>
      <t xml:space="preserve">Data for 1st True up of RPP Settlement based on Actual IESO Invoice on </t>
    </r>
    <r>
      <rPr>
        <b/>
        <sz val="14"/>
        <color rgb="FF00B050"/>
        <rFont val="Calibri"/>
        <family val="2"/>
        <scheme val="minor"/>
      </rPr>
      <t>February 6, 2026</t>
    </r>
    <r>
      <rPr>
        <b/>
        <sz val="14"/>
        <color theme="1"/>
        <rFont val="Calibri"/>
        <family val="2"/>
        <scheme val="minor"/>
      </rPr>
      <t>:</t>
    </r>
  </si>
  <si>
    <r>
      <t xml:space="preserve">RPP Settlement Calculation on Business Day 4 of </t>
    </r>
    <r>
      <rPr>
        <b/>
        <sz val="14"/>
        <color rgb="FF00B050"/>
        <rFont val="Calibri"/>
        <family val="2"/>
        <scheme val="minor"/>
      </rPr>
      <t>February 2026</t>
    </r>
    <r>
      <rPr>
        <b/>
        <sz val="14"/>
        <color theme="1"/>
        <rFont val="Calibri"/>
        <family val="2"/>
        <scheme val="minor"/>
      </rPr>
      <t xml:space="preserve"> based on Actual GA Price</t>
    </r>
  </si>
  <si>
    <r>
      <t xml:space="preserve">Data for 2nd True up of RPP Settlement based on Actual Revenue Volumes on </t>
    </r>
    <r>
      <rPr>
        <b/>
        <sz val="14"/>
        <color rgb="FF00B050"/>
        <rFont val="Calibri"/>
        <family val="2"/>
        <scheme val="minor"/>
      </rPr>
      <t>March 6, 2026</t>
    </r>
    <r>
      <rPr>
        <b/>
        <sz val="14"/>
        <color theme="1"/>
        <rFont val="Calibri"/>
        <family val="2"/>
        <scheme val="minor"/>
      </rPr>
      <t>:</t>
    </r>
  </si>
  <si>
    <r>
      <t xml:space="preserve">RPP Settlement Calculation based on Actual GA Price on Business Day 4 of </t>
    </r>
    <r>
      <rPr>
        <b/>
        <sz val="14"/>
        <color rgb="FF00B050"/>
        <rFont val="Calibri"/>
        <family val="2"/>
        <scheme val="minor"/>
      </rPr>
      <t>February 2026</t>
    </r>
  </si>
  <si>
    <r>
      <t xml:space="preserve">Final RPP Settlement Calculation on Business Day 4 of </t>
    </r>
    <r>
      <rPr>
        <b/>
        <sz val="14"/>
        <color rgb="FF00B050"/>
        <rFont val="Calibri"/>
        <family val="2"/>
        <scheme val="minor"/>
      </rPr>
      <t>March 2026</t>
    </r>
  </si>
  <si>
    <r>
      <t xml:space="preserve">To accrue commodity cost of power expenses. Accrual of expenses for CT 147, CT 148, CT1115 and CT 142. See JE #4 for reversal entry in January </t>
    </r>
    <r>
      <rPr>
        <sz val="11"/>
        <color rgb="FF00B050"/>
        <rFont val="Calibri"/>
        <family val="2"/>
        <scheme val="minor"/>
      </rPr>
      <t>2026</t>
    </r>
    <r>
      <rPr>
        <sz val="11"/>
        <rFont val="Calibri"/>
        <family val="2"/>
        <scheme val="minor"/>
      </rPr>
      <t xml:space="preserve">.
1  Accruals for payments to Embedded Generators included in cost of power accrual.  </t>
    </r>
  </si>
  <si>
    <r>
      <t xml:space="preserve">To accrue billings minus the previous months unbilled revenue plus the current month's unbilled revenues implicit in GL 4006 - 4055 for the month. See JE #5 for reversal entry in January </t>
    </r>
    <r>
      <rPr>
        <sz val="11"/>
        <color rgb="FF00B050"/>
        <rFont val="Calibri"/>
        <family val="2"/>
        <scheme val="minor"/>
      </rPr>
      <t>2026</t>
    </r>
    <r>
      <rPr>
        <sz val="11"/>
        <color theme="1"/>
        <rFont val="Calibri"/>
        <family val="2"/>
        <scheme val="minor"/>
      </rPr>
      <t xml:space="preserve">. The revenue estimate is shown as a single entry for illustrative purposes. Billing entries would come from daily Billing Journal transactions and the other components would be from the January </t>
    </r>
    <r>
      <rPr>
        <sz val="11"/>
        <color rgb="FF00B050"/>
        <rFont val="Calibri"/>
        <family val="2"/>
        <scheme val="minor"/>
      </rPr>
      <t>2026</t>
    </r>
    <r>
      <rPr>
        <sz val="11"/>
        <color theme="1"/>
        <rFont val="Calibri"/>
        <family val="2"/>
        <scheme val="minor"/>
      </rPr>
      <t xml:space="preserve"> month-end unbilled revenue accruals and the reversal of the December </t>
    </r>
    <r>
      <rPr>
        <sz val="11"/>
        <color rgb="FF00B050"/>
        <rFont val="Calibri"/>
        <family val="2"/>
        <scheme val="minor"/>
      </rPr>
      <t>2025</t>
    </r>
    <r>
      <rPr>
        <sz val="11"/>
        <color theme="1"/>
        <rFont val="Calibri"/>
        <family val="2"/>
        <scheme val="minor"/>
      </rPr>
      <t xml:space="preserve"> unbilled revenue accruals would be the remaining two journal entry sources.</t>
    </r>
  </si>
  <si>
    <r>
      <t xml:space="preserve">To reverse revenue related accrual per JE #2. For illustrative purposes, the entire JE #2 is shown as a reversal, in practice, only the unbilled revenue journal entry from December </t>
    </r>
    <r>
      <rPr>
        <sz val="11"/>
        <color rgb="FF00B050"/>
        <rFont val="Calibri"/>
        <family val="2"/>
        <scheme val="minor"/>
      </rPr>
      <t>2025</t>
    </r>
    <r>
      <rPr>
        <sz val="11"/>
        <color theme="1"/>
        <rFont val="Calibri"/>
        <family val="2"/>
        <scheme val="minor"/>
      </rPr>
      <t xml:space="preserve"> would be reversed.</t>
    </r>
  </si>
  <si>
    <r>
      <t xml:space="preserve">To record the billings in January </t>
    </r>
    <r>
      <rPr>
        <sz val="11"/>
        <color rgb="FF00B050"/>
        <rFont val="Calibri"/>
        <family val="2"/>
        <scheme val="minor"/>
      </rPr>
      <t>2026</t>
    </r>
    <r>
      <rPr>
        <sz val="11"/>
        <rFont val="Calibri"/>
        <family val="2"/>
        <scheme val="minor"/>
      </rPr>
      <t xml:space="preserve"> relating to December </t>
    </r>
    <r>
      <rPr>
        <sz val="11"/>
        <color rgb="FF00B050"/>
        <rFont val="Calibri"/>
        <family val="2"/>
        <scheme val="minor"/>
      </rPr>
      <t>2025</t>
    </r>
    <r>
      <rPr>
        <sz val="11"/>
        <rFont val="Calibri"/>
        <family val="2"/>
        <scheme val="minor"/>
      </rPr>
      <t xml:space="preserve"> consumption.  For illustrative purposes the portion of billings in January </t>
    </r>
    <r>
      <rPr>
        <sz val="11"/>
        <color rgb="FF00B050"/>
        <rFont val="Calibri"/>
        <family val="2"/>
        <scheme val="minor"/>
      </rPr>
      <t>2026</t>
    </r>
    <r>
      <rPr>
        <sz val="11"/>
        <rFont val="Calibri"/>
        <family val="2"/>
        <scheme val="minor"/>
      </rPr>
      <t xml:space="preserve"> that relate to December </t>
    </r>
    <r>
      <rPr>
        <sz val="11"/>
        <color rgb="FF00B050"/>
        <rFont val="Calibri"/>
        <family val="2"/>
        <scheme val="minor"/>
      </rPr>
      <t>2025</t>
    </r>
    <r>
      <rPr>
        <sz val="11"/>
        <rFont val="Calibri"/>
        <family val="2"/>
        <scheme val="minor"/>
      </rPr>
      <t xml:space="preserve"> is being shown. In this example it is assumed that half of the December </t>
    </r>
    <r>
      <rPr>
        <sz val="11"/>
        <color rgb="FF00B050"/>
        <rFont val="Calibri"/>
        <family val="2"/>
        <scheme val="minor"/>
      </rPr>
      <t>2025</t>
    </r>
    <r>
      <rPr>
        <sz val="11"/>
        <rFont val="Calibri"/>
        <family val="2"/>
        <scheme val="minor"/>
      </rPr>
      <t xml:space="preserve"> consumption is billed in January </t>
    </r>
    <r>
      <rPr>
        <sz val="11"/>
        <color rgb="FF00B050"/>
        <rFont val="Calibri"/>
        <family val="2"/>
        <scheme val="minor"/>
      </rPr>
      <t>2026</t>
    </r>
    <r>
      <rPr>
        <sz val="11"/>
        <rFont val="Calibri"/>
        <family val="2"/>
        <scheme val="minor"/>
      </rPr>
      <t xml:space="preserve"> and the balance is billed in February </t>
    </r>
    <r>
      <rPr>
        <sz val="11"/>
        <color rgb="FF00B050"/>
        <rFont val="Calibri"/>
        <family val="2"/>
        <scheme val="minor"/>
      </rPr>
      <t>2026</t>
    </r>
    <r>
      <rPr>
        <sz val="11"/>
        <rFont val="Calibri"/>
        <family val="2"/>
        <scheme val="minor"/>
      </rPr>
      <t xml:space="preserve">. In actual practice billings during the month of January </t>
    </r>
    <r>
      <rPr>
        <sz val="11"/>
        <color rgb="FF00B050"/>
        <rFont val="Calibri"/>
        <family val="2"/>
        <scheme val="minor"/>
      </rPr>
      <t>2026</t>
    </r>
    <r>
      <rPr>
        <sz val="11"/>
        <rFont val="Calibri"/>
        <family val="2"/>
        <scheme val="minor"/>
      </rPr>
      <t xml:space="preserve"> may include billings for November </t>
    </r>
    <r>
      <rPr>
        <sz val="11"/>
        <color rgb="FF00B050"/>
        <rFont val="Calibri"/>
        <family val="2"/>
        <scheme val="minor"/>
      </rPr>
      <t>2025</t>
    </r>
    <r>
      <rPr>
        <sz val="11"/>
        <rFont val="Calibri"/>
        <family val="2"/>
        <scheme val="minor"/>
      </rPr>
      <t xml:space="preserve">, December </t>
    </r>
    <r>
      <rPr>
        <sz val="11"/>
        <color rgb="FF00B050"/>
        <rFont val="Calibri"/>
        <family val="2"/>
        <scheme val="minor"/>
      </rPr>
      <t>2025</t>
    </r>
    <r>
      <rPr>
        <sz val="11"/>
        <rFont val="Calibri"/>
        <family val="2"/>
        <scheme val="minor"/>
      </rPr>
      <t xml:space="preserve"> and January </t>
    </r>
    <r>
      <rPr>
        <sz val="11"/>
        <color rgb="FF00B050"/>
        <rFont val="Calibri"/>
        <family val="2"/>
        <scheme val="minor"/>
      </rPr>
      <t>2026</t>
    </r>
    <r>
      <rPr>
        <sz val="11"/>
        <rFont val="Calibri"/>
        <family val="2"/>
        <scheme val="minor"/>
      </rPr>
      <t xml:space="preserve"> calendar month consumption. </t>
    </r>
  </si>
  <si>
    <r>
      <t xml:space="preserve">To record the unbilled revenue at the end of January </t>
    </r>
    <r>
      <rPr>
        <sz val="11"/>
        <color rgb="FF00B050"/>
        <rFont val="Calibri"/>
        <family val="2"/>
        <scheme val="minor"/>
      </rPr>
      <t>2026</t>
    </r>
    <r>
      <rPr>
        <sz val="11"/>
        <rFont val="Calibri"/>
        <family val="2"/>
        <scheme val="minor"/>
      </rPr>
      <t xml:space="preserve"> relating to the portion of December 2025 consumption that still has not been billed by the end of January </t>
    </r>
    <r>
      <rPr>
        <sz val="11"/>
        <color rgb="FF00B050"/>
        <rFont val="Calibri"/>
        <family val="2"/>
        <scheme val="minor"/>
      </rPr>
      <t>2026</t>
    </r>
    <r>
      <rPr>
        <sz val="11"/>
        <rFont val="Calibri"/>
        <family val="2"/>
        <scheme val="minor"/>
      </rPr>
      <t xml:space="preserve">. This entry will be reversed in February (see JE #11). For illustrative purposes it is assumed that a portion of December </t>
    </r>
    <r>
      <rPr>
        <sz val="11"/>
        <color rgb="FF00B050"/>
        <rFont val="Calibri"/>
        <family val="2"/>
        <scheme val="minor"/>
      </rPr>
      <t>2025</t>
    </r>
    <r>
      <rPr>
        <sz val="11"/>
        <rFont val="Calibri"/>
        <family val="2"/>
        <scheme val="minor"/>
      </rPr>
      <t xml:space="preserve"> consumption has still not been billed by the end of January </t>
    </r>
    <r>
      <rPr>
        <sz val="11"/>
        <color rgb="FF00B050"/>
        <rFont val="Calibri"/>
        <family val="2"/>
        <scheme val="minor"/>
      </rPr>
      <t>2026</t>
    </r>
    <r>
      <rPr>
        <sz val="11"/>
        <rFont val="Calibri"/>
        <family val="2"/>
        <scheme val="minor"/>
      </rPr>
      <t xml:space="preserve">. In this example it is also assumed that the actual consumption related to this unbilled revenue entry is billed in February </t>
    </r>
    <r>
      <rPr>
        <sz val="11"/>
        <color rgb="FF00B050"/>
        <rFont val="Calibri"/>
        <family val="2"/>
        <scheme val="minor"/>
      </rPr>
      <t>2026</t>
    </r>
    <r>
      <rPr>
        <sz val="11"/>
        <rFont val="Calibri"/>
        <family val="2"/>
        <scheme val="minor"/>
      </rPr>
      <t xml:space="preserve">. Note, the unbilled revenue relating to the January </t>
    </r>
    <r>
      <rPr>
        <sz val="11"/>
        <color rgb="FF00B050"/>
        <rFont val="Calibri"/>
        <family val="2"/>
        <scheme val="minor"/>
      </rPr>
      <t>2026</t>
    </r>
    <r>
      <rPr>
        <sz val="11"/>
        <rFont val="Calibri"/>
        <family val="2"/>
        <scheme val="minor"/>
      </rPr>
      <t xml:space="preserve"> consumption has not been incorporated into this example. The focus of the Illustrative example relates to transactions for December </t>
    </r>
    <r>
      <rPr>
        <sz val="11"/>
        <color rgb="FF00B050"/>
        <rFont val="Calibri"/>
        <family val="2"/>
        <scheme val="minor"/>
      </rPr>
      <t>2025</t>
    </r>
    <r>
      <rPr>
        <sz val="11"/>
        <rFont val="Calibri"/>
        <family val="2"/>
        <scheme val="minor"/>
      </rPr>
      <t xml:space="preserve"> consumption only.</t>
    </r>
  </si>
  <si>
    <r>
      <t xml:space="preserve">To record the monthly RSVA entry for January </t>
    </r>
    <r>
      <rPr>
        <sz val="11"/>
        <color rgb="FF00B050"/>
        <rFont val="Calibri"/>
        <family val="2"/>
        <scheme val="minor"/>
      </rPr>
      <t>2026</t>
    </r>
    <r>
      <rPr>
        <sz val="11"/>
        <color theme="1"/>
        <rFont val="Calibri"/>
        <family val="2"/>
        <scheme val="minor"/>
      </rPr>
      <t>.</t>
    </r>
  </si>
  <si>
    <r>
      <t xml:space="preserve">To reverse the unbilled revenue entry JE#9 relating to December </t>
    </r>
    <r>
      <rPr>
        <sz val="11"/>
        <color rgb="FF00B050"/>
        <rFont val="Calibri"/>
        <family val="2"/>
        <scheme val="minor"/>
      </rPr>
      <t>2025</t>
    </r>
    <r>
      <rPr>
        <sz val="11"/>
        <color theme="1"/>
        <rFont val="Calibri"/>
        <family val="2"/>
        <scheme val="minor"/>
      </rPr>
      <t xml:space="preserve"> consumption recorded in January </t>
    </r>
    <r>
      <rPr>
        <sz val="11"/>
        <color rgb="FF00B050"/>
        <rFont val="Calibri"/>
        <family val="2"/>
        <scheme val="minor"/>
      </rPr>
      <t>2026</t>
    </r>
    <r>
      <rPr>
        <sz val="11"/>
        <color theme="1"/>
        <rFont val="Calibri"/>
        <family val="2"/>
        <scheme val="minor"/>
      </rPr>
      <t xml:space="preserve">. </t>
    </r>
  </si>
  <si>
    <r>
      <t xml:space="preserve">To record the billings in February </t>
    </r>
    <r>
      <rPr>
        <sz val="11"/>
        <color rgb="FF00B050"/>
        <rFont val="Calibri"/>
        <family val="2"/>
        <scheme val="minor"/>
      </rPr>
      <t>2026</t>
    </r>
    <r>
      <rPr>
        <sz val="11"/>
        <rFont val="Calibri"/>
        <family val="2"/>
        <scheme val="minor"/>
      </rPr>
      <t xml:space="preserve"> relating to December </t>
    </r>
    <r>
      <rPr>
        <sz val="11"/>
        <color rgb="FF00B050"/>
        <rFont val="Calibri"/>
        <family val="2"/>
        <scheme val="minor"/>
      </rPr>
      <t>2025</t>
    </r>
    <r>
      <rPr>
        <sz val="11"/>
        <rFont val="Calibri"/>
        <family val="2"/>
        <scheme val="minor"/>
      </rPr>
      <t xml:space="preserve"> consumption.  For illustrative purposes the portion of billings in February </t>
    </r>
    <r>
      <rPr>
        <sz val="11"/>
        <color rgb="FF00B050"/>
        <rFont val="Calibri"/>
        <family val="2"/>
        <scheme val="minor"/>
      </rPr>
      <t>2026</t>
    </r>
    <r>
      <rPr>
        <sz val="11"/>
        <rFont val="Calibri"/>
        <family val="2"/>
        <scheme val="minor"/>
      </rPr>
      <t xml:space="preserve"> that relate to December </t>
    </r>
    <r>
      <rPr>
        <sz val="11"/>
        <color rgb="FF00B050"/>
        <rFont val="Calibri"/>
        <family val="2"/>
        <scheme val="minor"/>
      </rPr>
      <t>2025</t>
    </r>
    <r>
      <rPr>
        <sz val="11"/>
        <rFont val="Calibri"/>
        <family val="2"/>
        <scheme val="minor"/>
      </rPr>
      <t xml:space="preserve"> is being shown. In this example it is assumed that half of the December </t>
    </r>
    <r>
      <rPr>
        <sz val="11"/>
        <color rgb="FF00B050"/>
        <rFont val="Calibri"/>
        <family val="2"/>
        <scheme val="minor"/>
      </rPr>
      <t>2025</t>
    </r>
    <r>
      <rPr>
        <sz val="11"/>
        <rFont val="Calibri"/>
        <family val="2"/>
        <scheme val="minor"/>
      </rPr>
      <t xml:space="preserve"> consumption was billed in January </t>
    </r>
    <r>
      <rPr>
        <sz val="11"/>
        <color rgb="FF00B050"/>
        <rFont val="Calibri"/>
        <family val="2"/>
        <scheme val="minor"/>
      </rPr>
      <t>2026</t>
    </r>
    <r>
      <rPr>
        <sz val="11"/>
        <rFont val="Calibri"/>
        <family val="2"/>
        <scheme val="minor"/>
      </rPr>
      <t xml:space="preserve"> and the balance was billed in Februrary </t>
    </r>
    <r>
      <rPr>
        <sz val="11"/>
        <color rgb="FF00B050"/>
        <rFont val="Calibri"/>
        <family val="2"/>
        <scheme val="minor"/>
      </rPr>
      <t>2026</t>
    </r>
    <r>
      <rPr>
        <sz val="11"/>
        <rFont val="Calibri"/>
        <family val="2"/>
        <scheme val="minor"/>
      </rPr>
      <t xml:space="preserve">. In actual practice billings during the month of February </t>
    </r>
    <r>
      <rPr>
        <sz val="11"/>
        <color rgb="FF00B050"/>
        <rFont val="Calibri"/>
        <family val="2"/>
        <scheme val="minor"/>
      </rPr>
      <t>2026</t>
    </r>
    <r>
      <rPr>
        <sz val="11"/>
        <rFont val="Calibri"/>
        <family val="2"/>
        <scheme val="minor"/>
      </rPr>
      <t xml:space="preserve"> may include billings for December </t>
    </r>
    <r>
      <rPr>
        <sz val="11"/>
        <color rgb="FF00B050"/>
        <rFont val="Calibri"/>
        <family val="2"/>
        <scheme val="minor"/>
      </rPr>
      <t>2025</t>
    </r>
    <r>
      <rPr>
        <sz val="11"/>
        <rFont val="Calibri"/>
        <family val="2"/>
        <scheme val="minor"/>
      </rPr>
      <t xml:space="preserve">,  January </t>
    </r>
    <r>
      <rPr>
        <sz val="11"/>
        <color rgb="FF00B050"/>
        <rFont val="Calibri"/>
        <family val="2"/>
        <scheme val="minor"/>
      </rPr>
      <t>2026</t>
    </r>
    <r>
      <rPr>
        <sz val="11"/>
        <rFont val="Calibri"/>
        <family val="2"/>
        <scheme val="minor"/>
      </rPr>
      <t xml:space="preserve">, and February </t>
    </r>
    <r>
      <rPr>
        <sz val="11"/>
        <color rgb="FF00B050"/>
        <rFont val="Calibri"/>
        <family val="2"/>
        <scheme val="minor"/>
      </rPr>
      <t>2026</t>
    </r>
    <r>
      <rPr>
        <sz val="11"/>
        <rFont val="Calibri"/>
        <family val="2"/>
        <scheme val="minor"/>
      </rPr>
      <t xml:space="preserve"> calendar month consumption. </t>
    </r>
  </si>
  <si>
    <r>
      <t xml:space="preserve">To accrue 2nd true-up adjustment to CT 142 for actual December </t>
    </r>
    <r>
      <rPr>
        <sz val="11"/>
        <color rgb="FF00B050"/>
        <rFont val="Calibri"/>
        <family val="2"/>
        <scheme val="minor"/>
      </rPr>
      <t>2025</t>
    </r>
    <r>
      <rPr>
        <sz val="11"/>
        <rFont val="Calibri"/>
        <family val="2"/>
        <scheme val="minor"/>
      </rPr>
      <t xml:space="preserve"> kWh consumption sold at each RPP price point. In this illustrative example it is assumed that the 2nd true-up happens on business day 4 of March </t>
    </r>
    <r>
      <rPr>
        <sz val="11"/>
        <color rgb="FF00B050"/>
        <rFont val="Calibri"/>
        <family val="2"/>
        <scheme val="minor"/>
      </rPr>
      <t>2026</t>
    </r>
    <r>
      <rPr>
        <sz val="11"/>
        <rFont val="Calibri"/>
        <family val="2"/>
        <scheme val="minor"/>
      </rPr>
      <t xml:space="preserve"> and is included in CT 142 on the IESO invoice on business day 10 of March </t>
    </r>
    <r>
      <rPr>
        <sz val="11"/>
        <color rgb="FF00B050"/>
        <rFont val="Calibri"/>
        <family val="2"/>
        <scheme val="minor"/>
      </rPr>
      <t>2026</t>
    </r>
    <r>
      <rPr>
        <sz val="11"/>
        <rFont val="Calibri"/>
        <family val="2"/>
        <scheme val="minor"/>
      </rPr>
      <t xml:space="preserve">. The illustrative example does not show the reversal of this entry on March 1, </t>
    </r>
    <r>
      <rPr>
        <sz val="11"/>
        <color rgb="FF00B050"/>
        <rFont val="Calibri"/>
        <family val="2"/>
        <scheme val="minor"/>
      </rPr>
      <t>2026</t>
    </r>
    <r>
      <rPr>
        <sz val="11"/>
        <rFont val="Calibri"/>
        <family val="2"/>
        <scheme val="minor"/>
      </rPr>
      <t xml:space="preserve">, and then the recording of the same amount when the March </t>
    </r>
    <r>
      <rPr>
        <sz val="11"/>
        <color rgb="FF00B050"/>
        <rFont val="Calibri"/>
        <family val="2"/>
        <scheme val="minor"/>
      </rPr>
      <t>2026</t>
    </r>
    <r>
      <rPr>
        <sz val="11"/>
        <rFont val="Calibri"/>
        <family val="2"/>
        <scheme val="minor"/>
      </rPr>
      <t xml:space="preserve"> IESO invoice is recorded.</t>
    </r>
  </si>
  <si>
    <r>
      <t xml:space="preserve">To adjust allocation of CT 148 per IESO bill relating to actual RPP and non-RPP kWh proportions. In this Illustrative example it is assumed that the actual data is available by the end of February </t>
    </r>
    <r>
      <rPr>
        <sz val="11"/>
        <color rgb="FF00B050"/>
        <rFont val="Calibri"/>
        <family val="2"/>
        <scheme val="minor"/>
      </rPr>
      <t>2026</t>
    </r>
    <r>
      <rPr>
        <sz val="11"/>
        <color theme="1"/>
        <rFont val="Calibri"/>
        <family val="2"/>
        <scheme val="minor"/>
      </rPr>
      <t>.</t>
    </r>
  </si>
  <si>
    <r>
      <t xml:space="preserve">To record the monthly RSVA entry for February </t>
    </r>
    <r>
      <rPr>
        <sz val="11"/>
        <color rgb="FF00B050"/>
        <rFont val="Calibri"/>
        <family val="2"/>
        <scheme val="minor"/>
      </rPr>
      <t>2026</t>
    </r>
    <r>
      <rPr>
        <sz val="11"/>
        <color theme="1"/>
        <rFont val="Calibri"/>
        <family val="2"/>
        <scheme val="minor"/>
      </rPr>
      <t>.</t>
    </r>
  </si>
  <si>
    <r>
      <t xml:space="preserve">To record Actual charges re. CT 147, CT 148, CT 1115, CT 142, and CT 1412 on IESO invoice (on 10th business day of January </t>
    </r>
    <r>
      <rPr>
        <sz val="11"/>
        <color rgb="FF00B050"/>
        <rFont val="Calibri"/>
        <family val="2"/>
        <scheme val="minor"/>
      </rPr>
      <t>2026</t>
    </r>
    <r>
      <rPr>
        <sz val="11"/>
        <color theme="1"/>
        <rFont val="Calibri"/>
        <family val="2"/>
        <scheme val="minor"/>
      </rPr>
      <t xml:space="preserve">) into Power Purchased and actual GA charges based on estimated RPP/Non-RPP proportions.
2 Payments to Embedded Generators included for illustrative purposes; these payments would actually be negative billed through a distributors billing system, with payments to embedded generators.  
</t>
    </r>
  </si>
  <si>
    <r>
      <t xml:space="preserve">17 - </t>
    </r>
    <r>
      <rPr>
        <sz val="11"/>
        <rFont val="Calibri"/>
        <family val="2"/>
        <scheme val="minor"/>
      </rPr>
      <t xml:space="preserve">February </t>
    </r>
    <r>
      <rPr>
        <sz val="11"/>
        <color rgb="FF00B050"/>
        <rFont val="Calibri"/>
        <family val="2"/>
        <scheme val="minor"/>
      </rPr>
      <t>2026</t>
    </r>
    <r>
      <rPr>
        <sz val="11"/>
        <color theme="1"/>
        <rFont val="Calibri"/>
        <family val="2"/>
        <scheme val="minor"/>
      </rPr>
      <t xml:space="preserve"> journal entry is required to adjust amounts apportioned between Class B RPP &amp; non-RPP since actual proportions are known.</t>
    </r>
  </si>
  <si>
    <r>
      <t>Per Dec</t>
    </r>
    <r>
      <rPr>
        <b/>
        <sz val="11"/>
        <rFont val="Calibri"/>
        <family val="2"/>
        <scheme val="minor"/>
      </rPr>
      <t xml:space="preserve"> 31,</t>
    </r>
    <r>
      <rPr>
        <b/>
        <sz val="11"/>
        <color rgb="FF00B050"/>
        <rFont val="Calibri"/>
        <family val="2"/>
        <scheme val="minor"/>
      </rPr>
      <t xml:space="preserve"> 2025</t>
    </r>
    <r>
      <rPr>
        <b/>
        <sz val="11"/>
        <color theme="1"/>
        <rFont val="Calibri"/>
        <family val="2"/>
        <scheme val="minor"/>
      </rPr>
      <t xml:space="preserve"> G/L</t>
    </r>
  </si>
  <si>
    <r>
      <t xml:space="preserve">If Books Open and IESO Bill Posted to Dec 31, </t>
    </r>
    <r>
      <rPr>
        <b/>
        <sz val="11"/>
        <color rgb="FF00B050"/>
        <rFont val="Calibri"/>
        <family val="2"/>
        <scheme val="minor"/>
      </rPr>
      <t xml:space="preserve">2025 </t>
    </r>
    <r>
      <rPr>
        <b/>
        <sz val="11"/>
        <color theme="1"/>
        <rFont val="Calibri"/>
        <family val="2"/>
        <scheme val="minor"/>
      </rPr>
      <t>G/L, no reconciling Item</t>
    </r>
  </si>
  <si>
    <r>
      <t xml:space="preserve">Table 36: GA Analayis Workform Reconciling Items </t>
    </r>
    <r>
      <rPr>
        <b/>
        <sz val="11"/>
        <rFont val="Calibri"/>
        <family val="2"/>
        <scheme val="minor"/>
      </rPr>
      <t>December 31,</t>
    </r>
    <r>
      <rPr>
        <b/>
        <sz val="11"/>
        <color rgb="FF00B050"/>
        <rFont val="Calibri"/>
        <family val="2"/>
        <scheme val="minor"/>
      </rPr>
      <t xml:space="preserve"> 2025</t>
    </r>
  </si>
  <si>
    <r>
      <t xml:space="preserve">January </t>
    </r>
    <r>
      <rPr>
        <b/>
        <sz val="14"/>
        <color rgb="FF00B050"/>
        <rFont val="Calibri"/>
        <family val="2"/>
        <scheme val="minor"/>
      </rPr>
      <t>2026</t>
    </r>
    <r>
      <rPr>
        <b/>
        <sz val="14"/>
        <color theme="1"/>
        <rFont val="Calibri"/>
        <family val="2"/>
        <scheme val="minor"/>
      </rPr>
      <t xml:space="preserve"> Billed and Unbilled Revenue from RPP &amp; non-RPP Customers for December consumption:</t>
    </r>
  </si>
  <si>
    <r>
      <t>Data for Unbilled/Billed Entry for January,</t>
    </r>
    <r>
      <rPr>
        <b/>
        <sz val="14"/>
        <color rgb="FF00B050"/>
        <rFont val="Calibri"/>
        <family val="2"/>
        <scheme val="minor"/>
      </rPr>
      <t xml:space="preserve"> 2026</t>
    </r>
    <r>
      <rPr>
        <b/>
        <sz val="14"/>
        <color theme="1"/>
        <rFont val="Calibri"/>
        <family val="2"/>
        <scheme val="minor"/>
      </rPr>
      <t>:</t>
    </r>
  </si>
  <si>
    <r>
      <t xml:space="preserve">Initial RPP Settlement Calculation on Business Day 4 of </t>
    </r>
    <r>
      <rPr>
        <b/>
        <sz val="14"/>
        <color rgb="FF00B050"/>
        <rFont val="Calibri"/>
        <family val="2"/>
        <scheme val="minor"/>
      </rPr>
      <t>January 2026</t>
    </r>
  </si>
  <si>
    <r>
      <t xml:space="preserve">To record RPP Settlement 1st true-up for CT 142 on business day 4 of February </t>
    </r>
    <r>
      <rPr>
        <sz val="11"/>
        <color rgb="FF00B050"/>
        <rFont val="Calibri"/>
        <family val="2"/>
        <scheme val="minor"/>
      </rPr>
      <t>2026</t>
    </r>
    <r>
      <rPr>
        <sz val="11"/>
        <color theme="1"/>
        <rFont val="Calibri"/>
        <family val="2"/>
        <scheme val="minor"/>
      </rPr>
      <t xml:space="preserve"> for the difference between GA 2nd Estimate price and GA Actual price (based on CT 148 total amount) and for actual wholesale kWh volumes.</t>
    </r>
  </si>
  <si>
    <r>
      <t xml:space="preserve">Account Balance - December 31, </t>
    </r>
    <r>
      <rPr>
        <b/>
        <sz val="11"/>
        <color rgb="FF00B050"/>
        <rFont val="Calibri"/>
        <family val="2"/>
        <scheme val="minor"/>
      </rPr>
      <t>2025</t>
    </r>
  </si>
  <si>
    <r>
      <t xml:space="preserve">RSVA power account 1588 entry for </t>
    </r>
    <r>
      <rPr>
        <sz val="11"/>
        <color rgb="FF00B050"/>
        <rFont val="Calibri"/>
        <family val="2"/>
        <scheme val="minor"/>
      </rPr>
      <t>December 2025</t>
    </r>
    <r>
      <rPr>
        <sz val="11"/>
        <color theme="1"/>
        <rFont val="Calibri"/>
        <family val="2"/>
        <scheme val="minor"/>
      </rPr>
      <t>, JE# 3</t>
    </r>
  </si>
  <si>
    <r>
      <t xml:space="preserve">RSVA GA account 1589 entry for </t>
    </r>
    <r>
      <rPr>
        <sz val="11"/>
        <color rgb="FF00B050"/>
        <rFont val="Calibri"/>
        <family val="2"/>
        <scheme val="minor"/>
      </rPr>
      <t>December 2025</t>
    </r>
    <r>
      <rPr>
        <sz val="11"/>
        <color theme="1"/>
        <rFont val="Calibri"/>
        <family val="2"/>
        <scheme val="minor"/>
      </rPr>
      <t>, JE# 3</t>
    </r>
  </si>
  <si>
    <r>
      <t xml:space="preserve">RSVA power account 1588 entry for </t>
    </r>
    <r>
      <rPr>
        <sz val="11"/>
        <color rgb="FF00B050"/>
        <rFont val="Calibri"/>
        <family val="2"/>
        <scheme val="minor"/>
      </rPr>
      <t>January 2026</t>
    </r>
    <r>
      <rPr>
        <sz val="11"/>
        <rFont val="Calibri"/>
        <family val="2"/>
        <scheme val="minor"/>
      </rPr>
      <t>, JE# 10</t>
    </r>
  </si>
  <si>
    <r>
      <t xml:space="preserve">RSVA GA account 1589 for </t>
    </r>
    <r>
      <rPr>
        <sz val="11"/>
        <color rgb="FF00B050"/>
        <rFont val="Calibri"/>
        <family val="2"/>
        <scheme val="minor"/>
      </rPr>
      <t>January 2026</t>
    </r>
    <r>
      <rPr>
        <sz val="11"/>
        <color theme="1"/>
        <rFont val="Calibri"/>
        <family val="2"/>
        <scheme val="minor"/>
      </rPr>
      <t>, JE# 10</t>
    </r>
  </si>
  <si>
    <r>
      <t xml:space="preserve">RSVA power account 1588 entry for </t>
    </r>
    <r>
      <rPr>
        <sz val="11"/>
        <color rgb="FF00B050"/>
        <rFont val="Calibri"/>
        <family val="2"/>
        <scheme val="minor"/>
      </rPr>
      <t>February 2026</t>
    </r>
    <r>
      <rPr>
        <sz val="11"/>
        <rFont val="Calibri"/>
        <family val="2"/>
        <scheme val="minor"/>
      </rPr>
      <t>, JE# 15</t>
    </r>
  </si>
  <si>
    <r>
      <t xml:space="preserve">RSVA GA account 1589 for </t>
    </r>
    <r>
      <rPr>
        <sz val="11"/>
        <color rgb="FF00B050"/>
        <rFont val="Calibri"/>
        <family val="2"/>
        <scheme val="minor"/>
      </rPr>
      <t>February 2026</t>
    </r>
    <r>
      <rPr>
        <sz val="11"/>
        <color theme="1"/>
        <rFont val="Calibri"/>
        <family val="2"/>
        <scheme val="minor"/>
      </rPr>
      <t>, JE# 15</t>
    </r>
  </si>
  <si>
    <t>Table 18A:  Updated actual Average unit cost of power purchased for RPP &amp; non-RPP for 1st True-up</t>
  </si>
  <si>
    <t>Estimated Load Forecast Deviation Adjustment (LFDA)</t>
  </si>
  <si>
    <t>Table 42:   Difference between preliminary DAM OZP &amp; LFDA and amount billed by IESO for CT 1115 - Non-RPP</t>
  </si>
  <si>
    <t>IESO Billed OZP &amp; LFDA Average Price</t>
  </si>
  <si>
    <t>Table 43:   Difference between estimated  DAM OZP &amp; LFDA and amount billed by IESO for CT 1115 - Embedded Generation</t>
  </si>
  <si>
    <t>Preliminary Settlement OZP &amp; LFDA Average Price</t>
  </si>
  <si>
    <t>Retail vs Wholesale LFDA Price Variance</t>
  </si>
  <si>
    <t>Preliminary Settlement Statement Load Forecast Deviation Adjustment (LFDA)</t>
  </si>
  <si>
    <t>The previously used term Load Forecast Deviation Charge (LFDC) has been replaced with Load Forecast Deviation Adjustment (LFDA)</t>
  </si>
  <si>
    <t>Summary of Updates Compared to the Version Issued for the Implementation of the ULO Price Plan on May 23, 2023</t>
  </si>
  <si>
    <r>
      <t>Charge Type 142 - RPP - 4705 - RPP Settlement - Initial Settlement Amount</t>
    </r>
    <r>
      <rPr>
        <vertAlign val="superscript"/>
        <sz val="11"/>
        <color theme="1"/>
        <rFont val="Calibri"/>
        <family val="2"/>
        <scheme val="minor"/>
      </rPr>
      <t>11</t>
    </r>
  </si>
  <si>
    <t>Estimated and preliminary settlement statement amounts from IESO for DAM OZP and LFDA have been added at estimated amounts (The estimated and the preliminary settlement statement amounts should be the distributor-specific weighted average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</si>
</sst>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_(* \(#,##0\);_(* &quot;-&quot;??_);_(@_)"/>
    <numFmt numFmtId="167" formatCode="_(&quot;$&quot;* #,##0.0000_);_(&quot;$&quot;* \(#,##0.0000\);_(&quot;$&quot;* &quot;-&quot;??_);_(@_)"/>
    <numFmt numFmtId="168" formatCode="_(&quot;$&quot;* #,##0_);_(&quot;$&quot;* \(#,##0\);_(&quot;$&quot;* &quot;-&quot;??_);_(@_)"/>
    <numFmt numFmtId="169" formatCode="_(* #,##0_);_(* \(#,##0\);_(* &quot;-&quot;????_);_(@_)"/>
    <numFmt numFmtId="170" formatCode="_(&quot;$&quot;* #,##0.000_);_(&quot;$&quot;* \(#,##0.000\);_(&quot;$&quot;* &quot;-&quot;??_);_(@_)"/>
    <numFmt numFmtId="171" formatCode="_-&quot;$&quot;* #,##0_-;\-&quot;$&quot;* #,##0_-;_-&quot;$&quot;* &quot;-&quot;????_-;_-@_-"/>
    <numFmt numFmtId="172" formatCode="_-&quot;$&quot;* #,##0.0000_-;\-&quot;$&quot;* #,##0.0000_-;_-&quot;$&quot;* &quot;-&quot;??_-;_-@_-"/>
    <numFmt numFmtId="173" formatCode="_-&quot;$&quot;* #,##0.00000_-;\-&quot;$&quot;* #,##0.00000_-;_-&quot;$&quot;* &quot;-&quot;??_-;_-@_-"/>
    <numFmt numFmtId="174" formatCode="_(* #,##0.0000_);_(* \(#,##0.0000\);_(* &quot;-&quot;??_);_(@_)"/>
    <numFmt numFmtId="175" formatCode="_(* #,##0.0000_);_(* \(#,##0.0000\);_(* &quot;-&quot;????_);_(@_)"/>
    <numFmt numFmtId="176" formatCode="_(* #,##0.000000_);_(* \(#,##0.000000\);_(* &quot;-&quot;??_);_(@_)"/>
    <numFmt numFmtId="177" formatCode="0.0000%"/>
    <numFmt numFmtId="178" formatCode="_(&quot;$&quot;* #,##0.00000_);_(&quot;$&quot;* \(#,##0.00000\);_(&quot;$&quot;* &quot;-&quot;??_);_(@_)"/>
    <numFmt numFmtId="179" formatCode="_(* #,##0.00000_);_(* \(#,##0.00000\);_(* &quot;-&quot;??_);_(@_)"/>
    <numFmt numFmtId="180" formatCode="_(* #,##0.0000000_);_(* \(#,##0.0000000\);_(* &quot;-&quot;??_);_(@_)"/>
    <numFmt numFmtId="181" formatCode="_-&quot;$&quot;* #,##0_-;\-&quot;$&quot;* #,##0_-;_-&quot;$&quot;* &quot;-&quot;??_-;_-@_-"/>
    <numFmt numFmtId="182" formatCode="_-* #,##0.00000_-;\-* #,##0.00000_-;_-* &quot;-&quot;??_-;_-@_-"/>
    <numFmt numFmtId="183" formatCode="_-* #,##0_-;\-* #,##0_-;_-* &quot;-&quot;??_-;_-@_-"/>
    <numFmt numFmtId="184" formatCode="_-* #,##0.000000_-;\-* #,##0.000000_-;_-* &quot;-&quot;??_-;_-@_-"/>
    <numFmt numFmtId="185" formatCode="_-* #,##0.00000000_-;\-* #,##0.00000000_-;_-* &quot;-&quot;??_-;_-@_-"/>
    <numFmt numFmtId="186" formatCode="_(&quot;$&quot;* #,##0.00000000_);_(&quot;$&quot;* \(#,##0.00000000\);_(&quot;$&quot;* &quot;-&quot;??_);_(@_)"/>
    <numFmt numFmtId="187" formatCode="0.000000"/>
    <numFmt numFmtId="188" formatCode="_(&quot;$&quot;* #,##0.000000_);_(&quot;$&quot;* \(#,##0.000000\);_(&quot;$&quot;* &quot;-&quot;??_);_(@_)"/>
    <numFmt numFmtId="189" formatCode="_-* #,##0.0000_-;\-* #,##0.0000_-;_-* &quot;-&quot;??_-;_-@_-"/>
    <numFmt numFmtId="190" formatCode="0.0%"/>
    <numFmt numFmtId="191" formatCode="0.0000"/>
  </numFmts>
  <fonts count="4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sz val="20"/>
      <color theme="1"/>
      <name val="Calibri"/>
      <family val="2"/>
      <scheme val="minor"/>
    </font>
    <font>
      <b/>
      <u/>
      <sz val="11"/>
      <color theme="1"/>
      <name val="Calibri"/>
      <family val="2"/>
      <scheme val="minor"/>
    </font>
    <font>
      <b/>
      <vertAlign val="superscript"/>
      <sz val="11"/>
      <color theme="1"/>
      <name val="Calibri"/>
      <family val="2"/>
      <scheme val="minor"/>
    </font>
    <font>
      <b/>
      <vertAlign val="superscript"/>
      <sz val="10"/>
      <color theme="1"/>
      <name val="Calibri"/>
      <family val="2"/>
      <scheme val="minor"/>
    </font>
    <font>
      <b/>
      <u/>
      <sz val="20"/>
      <color theme="1"/>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i/>
      <sz val="11"/>
      <name val="Calibri"/>
      <family val="2"/>
      <scheme val="minor"/>
    </font>
    <font>
      <b/>
      <sz val="10"/>
      <name val="Calibri"/>
      <family val="2"/>
      <scheme val="minor"/>
    </font>
    <font>
      <b/>
      <sz val="11"/>
      <color rgb="FFFF0000"/>
      <name val="Calibri"/>
      <family val="2"/>
      <scheme val="minor"/>
    </font>
    <font>
      <vertAlign val="superscript"/>
      <sz val="11"/>
      <color theme="1"/>
      <name val="Calibri"/>
      <family val="2"/>
      <scheme val="minor"/>
    </font>
    <font>
      <sz val="10"/>
      <color theme="1"/>
      <name val="Calibri"/>
      <family val="2"/>
      <scheme val="minor"/>
    </font>
    <font>
      <b/>
      <u/>
      <sz val="22"/>
      <color theme="1"/>
      <name val="Calibri"/>
      <family val="2"/>
      <scheme val="minor"/>
    </font>
    <font>
      <b/>
      <sz val="11"/>
      <name val="Calibri"/>
      <family val="2"/>
      <scheme val="minor"/>
    </font>
    <font>
      <sz val="11"/>
      <color rgb="FF7030A0"/>
      <name val="Calibri"/>
      <family val="2"/>
      <scheme val="minor"/>
    </font>
    <font>
      <sz val="11"/>
      <color rgb="FF00B0F0"/>
      <name val="Calibri"/>
      <family val="2"/>
      <scheme val="minor"/>
    </font>
    <font>
      <i/>
      <sz val="11"/>
      <color rgb="FFFF0000"/>
      <name val="Calibri"/>
      <family val="2"/>
      <scheme val="minor"/>
    </font>
    <font>
      <b/>
      <sz val="11"/>
      <color theme="7" tint="-0.249977111117893"/>
      <name val="Calibri"/>
      <family val="2"/>
      <scheme val="minor"/>
    </font>
    <font>
      <sz val="11"/>
      <color theme="7" tint="-0.249977111117893"/>
      <name val="Calibri"/>
      <family val="2"/>
      <scheme val="minor"/>
    </font>
    <font>
      <sz val="11"/>
      <color theme="7" tint="-0.499984740745262"/>
      <name val="Calibri"/>
      <family val="2"/>
      <scheme val="minor"/>
    </font>
    <font>
      <sz val="8"/>
      <name val="Calibri"/>
      <family val="2"/>
      <scheme val="minor"/>
    </font>
    <font>
      <sz val="11"/>
      <color rgb="FF00B050"/>
      <name val="Calibri"/>
      <family val="2"/>
      <scheme val="minor"/>
    </font>
    <font>
      <i/>
      <sz val="11"/>
      <color rgb="FF00B050"/>
      <name val="Calibri"/>
      <family val="2"/>
      <scheme val="minor"/>
    </font>
    <font>
      <b/>
      <sz val="11"/>
      <color rgb="FF00B050"/>
      <name val="Calibri"/>
      <family val="2"/>
      <scheme val="minor"/>
    </font>
    <font>
      <sz val="12"/>
      <color theme="1"/>
      <name val="Calibri"/>
      <family val="2"/>
      <scheme val="minor"/>
    </font>
    <font>
      <sz val="10"/>
      <name val="Arial"/>
      <family val="2"/>
    </font>
    <font>
      <sz val="12"/>
      <color rgb="FF7030A0"/>
      <name val="Calibri"/>
      <family val="2"/>
      <scheme val="minor"/>
    </font>
    <font>
      <sz val="12"/>
      <color rgb="FFFF0000"/>
      <name val="Calibri"/>
      <family val="2"/>
      <scheme val="minor"/>
    </font>
    <font>
      <sz val="12"/>
      <color rgb="FF00B0F0"/>
      <name val="Calibri"/>
      <family val="2"/>
      <scheme val="minor"/>
    </font>
    <font>
      <sz val="12"/>
      <color rgb="FF00B050"/>
      <name val="Calibri"/>
      <family val="2"/>
      <scheme val="minor"/>
    </font>
    <font>
      <sz val="12"/>
      <name val="Calibri"/>
      <family val="2"/>
      <scheme val="minor"/>
    </font>
    <font>
      <b/>
      <vertAlign val="subscript"/>
      <sz val="11"/>
      <color theme="1"/>
      <name val="Calibri"/>
      <family val="2"/>
      <scheme val="minor"/>
    </font>
    <font>
      <b/>
      <sz val="14"/>
      <color rgb="FF00B05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gray0625">
        <bgColor theme="0" tint="-4.9989318521683403E-2"/>
      </patternFill>
    </fill>
    <fill>
      <patternFill patternType="solid">
        <fgColor auto="1"/>
        <bgColor indexed="64"/>
      </patternFill>
    </fill>
    <fill>
      <patternFill patternType="solid">
        <fgColor theme="4" tint="0.39997558519241921"/>
        <bgColor indexed="64"/>
      </patternFill>
    </fill>
    <fill>
      <patternFill patternType="solid">
        <fgColor theme="5" tint="0.59999389629810485"/>
        <bgColor indexed="64"/>
      </patternFill>
    </fill>
  </fills>
  <borders count="81">
    <border>
      <left/>
      <right/>
      <top/>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indexed="64"/>
      </top>
      <bottom style="thin">
        <color auto="1"/>
      </bottom>
      <diagonal/>
    </border>
    <border>
      <left/>
      <right style="thick">
        <color auto="1"/>
      </right>
      <top style="thick">
        <color auto="1"/>
      </top>
      <bottom/>
      <diagonal/>
    </border>
    <border>
      <left/>
      <right/>
      <top style="thick">
        <color auto="1"/>
      </top>
      <bottom/>
      <diagonal/>
    </border>
    <border>
      <left/>
      <right style="thick">
        <color auto="1"/>
      </right>
      <top/>
      <bottom/>
      <diagonal/>
    </border>
    <border>
      <left/>
      <right/>
      <top/>
      <bottom style="thick">
        <color auto="1"/>
      </bottom>
      <diagonal/>
    </border>
    <border>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right style="hair">
        <color auto="1"/>
      </right>
      <top style="thin">
        <color auto="1"/>
      </top>
      <bottom style="thin">
        <color auto="1"/>
      </bottom>
      <diagonal/>
    </border>
    <border>
      <left style="thin">
        <color indexed="64"/>
      </left>
      <right/>
      <top style="thin">
        <color indexed="64"/>
      </top>
      <bottom style="medium">
        <color indexed="64"/>
      </bottom>
      <diagonal/>
    </border>
    <border>
      <left/>
      <right/>
      <top/>
      <bottom style="double">
        <color auto="1"/>
      </bottom>
      <diagonal/>
    </border>
    <border>
      <left/>
      <right/>
      <top style="medium">
        <color auto="1"/>
      </top>
      <bottom/>
      <diagonal/>
    </border>
    <border>
      <left style="dashed">
        <color indexed="64"/>
      </left>
      <right style="thin">
        <color auto="1"/>
      </right>
      <top style="thin">
        <color indexed="64"/>
      </top>
      <bottom style="medium">
        <color auto="1"/>
      </bottom>
      <diagonal/>
    </border>
    <border>
      <left style="dashed">
        <color indexed="64"/>
      </left>
      <right style="thin">
        <color auto="1"/>
      </right>
      <top style="thin">
        <color indexed="64"/>
      </top>
      <bottom style="thin">
        <color indexed="64"/>
      </bottom>
      <diagonal/>
    </border>
    <border>
      <left style="dashed">
        <color indexed="64"/>
      </left>
      <right style="dashed">
        <color indexed="64"/>
      </right>
      <top style="thin">
        <color indexed="64"/>
      </top>
      <bottom style="thin">
        <color auto="1"/>
      </bottom>
      <diagonal/>
    </border>
    <border>
      <left style="thick">
        <color auto="1"/>
      </left>
      <right/>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dashed">
        <color indexed="64"/>
      </left>
      <right style="dashed">
        <color indexed="64"/>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dashed">
        <color indexed="64"/>
      </left>
      <right style="dashed">
        <color indexed="64"/>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auto="1"/>
      </top>
      <bottom style="double">
        <color auto="1"/>
      </bottom>
      <diagonal/>
    </border>
    <border>
      <left style="thin">
        <color indexed="64"/>
      </left>
      <right style="thin">
        <color indexed="64"/>
      </right>
      <top/>
      <bottom style="double">
        <color indexed="64"/>
      </bottom>
      <diagonal/>
    </border>
    <border>
      <left style="thin">
        <color auto="1"/>
      </left>
      <right/>
      <top/>
      <bottom style="medium">
        <color auto="1"/>
      </bottom>
      <diagonal/>
    </border>
    <border>
      <left/>
      <right style="thin">
        <color indexed="64"/>
      </right>
      <top/>
      <bottom style="medium">
        <color auto="1"/>
      </bottom>
      <diagonal/>
    </border>
    <border>
      <left style="dashed">
        <color indexed="64"/>
      </left>
      <right style="medium">
        <color auto="1"/>
      </right>
      <top style="medium">
        <color auto="1"/>
      </top>
      <bottom style="medium">
        <color auto="1"/>
      </bottom>
      <diagonal/>
    </border>
    <border>
      <left style="dashed">
        <color indexed="64"/>
      </left>
      <right style="thin">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thin">
        <color indexed="64"/>
      </bottom>
      <diagonal/>
    </border>
    <border>
      <left style="thin">
        <color auto="1"/>
      </left>
      <right/>
      <top style="medium">
        <color auto="1"/>
      </top>
      <bottom style="thin">
        <color auto="1"/>
      </bottom>
      <diagonal/>
    </border>
    <border>
      <left style="dashed">
        <color indexed="64"/>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indexed="64"/>
      </right>
      <top style="medium">
        <color auto="1"/>
      </top>
      <bottom style="thin">
        <color auto="1"/>
      </bottom>
      <diagonal/>
    </border>
    <border>
      <left style="thin">
        <color indexed="64"/>
      </left>
      <right style="thin">
        <color auto="1"/>
      </right>
      <top style="medium">
        <color auto="1"/>
      </top>
      <bottom style="double">
        <color indexed="64"/>
      </bottom>
      <diagonal/>
    </border>
    <border>
      <left style="dashed">
        <color indexed="64"/>
      </left>
      <right style="thin">
        <color auto="1"/>
      </right>
      <top style="medium">
        <color auto="1"/>
      </top>
      <bottom style="double">
        <color indexed="64"/>
      </bottom>
      <diagonal/>
    </border>
    <border>
      <left style="medium">
        <color auto="1"/>
      </left>
      <right/>
      <top style="medium">
        <color auto="1"/>
      </top>
      <bottom style="thin">
        <color auto="1"/>
      </bottom>
      <diagonal/>
    </border>
    <border>
      <left style="dashed">
        <color indexed="64"/>
      </left>
      <right style="dashed">
        <color indexed="64"/>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right style="thick">
        <color rgb="FF00B050"/>
      </right>
      <top style="thin">
        <color indexed="64"/>
      </top>
      <bottom style="double">
        <color indexed="64"/>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bottom style="medium">
        <color auto="1"/>
      </bottom>
      <diagonal/>
    </border>
    <border>
      <left style="medium">
        <color indexed="64"/>
      </left>
      <right style="medium">
        <color indexed="64"/>
      </right>
      <top/>
      <bottom/>
      <diagonal/>
    </border>
    <border>
      <left/>
      <right style="medium">
        <color auto="1"/>
      </right>
      <top/>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diagonal/>
    </border>
    <border>
      <left style="medium">
        <color auto="1"/>
      </left>
      <right/>
      <top style="thin">
        <color auto="1"/>
      </top>
      <bottom/>
      <diagonal/>
    </border>
    <border>
      <left style="dashed">
        <color indexed="64"/>
      </left>
      <right style="dashed">
        <color indexed="64"/>
      </right>
      <top style="thin">
        <color indexed="64"/>
      </top>
      <bottom/>
      <diagonal/>
    </border>
    <border>
      <left/>
      <right style="medium">
        <color auto="1"/>
      </right>
      <top style="thin">
        <color auto="1"/>
      </top>
      <bottom/>
      <diagonal/>
    </border>
    <border>
      <left style="medium">
        <color indexed="64"/>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2" fillId="0" borderId="0"/>
  </cellStyleXfs>
  <cellXfs count="567">
    <xf numFmtId="0" fontId="0" fillId="0" borderId="0" xfId="0"/>
    <xf numFmtId="166" fontId="0" fillId="0" borderId="0" xfId="1" applyNumberFormat="1" applyFont="1"/>
    <xf numFmtId="10" fontId="0" fillId="0" borderId="0" xfId="3" applyNumberFormat="1" applyFont="1"/>
    <xf numFmtId="167" fontId="0" fillId="0" borderId="0" xfId="2" applyNumberFormat="1" applyFont="1"/>
    <xf numFmtId="168" fontId="0" fillId="0" borderId="0" xfId="2" applyNumberFormat="1" applyFont="1"/>
    <xf numFmtId="168" fontId="0" fillId="0" borderId="0" xfId="0" applyNumberFormat="1"/>
    <xf numFmtId="166" fontId="0" fillId="0" borderId="0" xfId="0" applyNumberFormat="1"/>
    <xf numFmtId="166" fontId="0" fillId="0" borderId="0" xfId="1" applyNumberFormat="1" applyFont="1" applyBorder="1"/>
    <xf numFmtId="166" fontId="0" fillId="0" borderId="0" xfId="1" applyNumberFormat="1" applyFont="1" applyFill="1"/>
    <xf numFmtId="167" fontId="0" fillId="0" borderId="0" xfId="0" applyNumberFormat="1"/>
    <xf numFmtId="0" fontId="2" fillId="0" borderId="0" xfId="0" applyFont="1"/>
    <xf numFmtId="10" fontId="0" fillId="0" borderId="0" xfId="3" applyNumberFormat="1" applyFont="1" applyFill="1"/>
    <xf numFmtId="168" fontId="0" fillId="0" borderId="0" xfId="2" applyNumberFormat="1" applyFont="1" applyFill="1"/>
    <xf numFmtId="0" fontId="0" fillId="0" borderId="0" xfId="0" applyAlignment="1">
      <alignment horizontal="center"/>
    </xf>
    <xf numFmtId="166" fontId="0" fillId="0" borderId="1" xfId="0" applyNumberFormat="1" applyBorder="1"/>
    <xf numFmtId="10" fontId="0" fillId="0" borderId="1" xfId="0" applyNumberFormat="1" applyBorder="1"/>
    <xf numFmtId="166" fontId="0" fillId="0" borderId="0" xfId="3" applyNumberFormat="1" applyFont="1"/>
    <xf numFmtId="44" fontId="0" fillId="0" borderId="0" xfId="2" applyFont="1"/>
    <xf numFmtId="170" fontId="0" fillId="0" borderId="0" xfId="2" applyNumberFormat="1" applyFont="1"/>
    <xf numFmtId="0" fontId="2" fillId="0" borderId="0" xfId="0" applyFont="1" applyAlignment="1">
      <alignment horizontal="center"/>
    </xf>
    <xf numFmtId="168" fontId="0" fillId="0" borderId="1" xfId="2" applyNumberFormat="1" applyFont="1" applyBorder="1"/>
    <xf numFmtId="0" fontId="3" fillId="0" borderId="0" xfId="0" applyFont="1"/>
    <xf numFmtId="0" fontId="4" fillId="0" borderId="0" xfId="0" applyFont="1"/>
    <xf numFmtId="171" fontId="0" fillId="0" borderId="0" xfId="0" applyNumberFormat="1"/>
    <xf numFmtId="168" fontId="0" fillId="0" borderId="0" xfId="2" applyNumberFormat="1" applyFont="1" applyBorder="1"/>
    <xf numFmtId="173" fontId="0" fillId="0" borderId="0" xfId="0" applyNumberFormat="1"/>
    <xf numFmtId="0" fontId="2" fillId="0" borderId="0" xfId="0" applyFont="1" applyAlignment="1">
      <alignment horizontal="center" wrapText="1"/>
    </xf>
    <xf numFmtId="170" fontId="0" fillId="0" borderId="0" xfId="0" applyNumberFormat="1"/>
    <xf numFmtId="166" fontId="0" fillId="0" borderId="0" xfId="3" applyNumberFormat="1" applyFont="1" applyBorder="1"/>
    <xf numFmtId="165" fontId="0" fillId="0" borderId="0" xfId="0" applyNumberFormat="1"/>
    <xf numFmtId="0" fontId="2" fillId="0" borderId="0" xfId="0" applyFont="1" applyAlignment="1">
      <alignment wrapText="1"/>
    </xf>
    <xf numFmtId="167" fontId="0" fillId="0" borderId="0" xfId="2" applyNumberFormat="1" applyFont="1" applyBorder="1"/>
    <xf numFmtId="172" fontId="0" fillId="0" borderId="0" xfId="0" applyNumberFormat="1"/>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horizontal="center" wrapText="1"/>
    </xf>
    <xf numFmtId="0" fontId="0" fillId="0" borderId="3" xfId="0" applyBorder="1"/>
    <xf numFmtId="170" fontId="0" fillId="0" borderId="4" xfId="0" applyNumberFormat="1" applyBorder="1"/>
    <xf numFmtId="167" fontId="0" fillId="0" borderId="4" xfId="2" applyNumberFormat="1" applyFont="1" applyBorder="1"/>
    <xf numFmtId="0" fontId="0" fillId="0" borderId="5" xfId="0" applyBorder="1"/>
    <xf numFmtId="166" fontId="2" fillId="0" borderId="0" xfId="1" applyNumberFormat="1" applyFont="1" applyBorder="1" applyAlignment="1">
      <alignment horizontal="center"/>
    </xf>
    <xf numFmtId="168" fontId="2" fillId="0" borderId="0" xfId="2" applyNumberFormat="1" applyFont="1" applyBorder="1" applyAlignment="1">
      <alignment horizontal="center"/>
    </xf>
    <xf numFmtId="166" fontId="1" fillId="0" borderId="0" xfId="1" applyNumberFormat="1" applyFont="1" applyBorder="1"/>
    <xf numFmtId="168" fontId="0" fillId="0" borderId="1" xfId="2" applyNumberFormat="1" applyFont="1" applyFill="1" applyBorder="1"/>
    <xf numFmtId="166" fontId="0" fillId="2" borderId="0" xfId="1" applyNumberFormat="1" applyFont="1" applyFill="1"/>
    <xf numFmtId="168" fontId="0" fillId="0" borderId="0" xfId="2" applyNumberFormat="1" applyFont="1" applyFill="1" applyBorder="1"/>
    <xf numFmtId="168" fontId="2" fillId="0" borderId="0" xfId="2" applyNumberFormat="1" applyFont="1" applyFill="1" applyBorder="1" applyAlignment="1">
      <alignment horizontal="center"/>
    </xf>
    <xf numFmtId="168" fontId="1" fillId="0" borderId="0" xfId="2" applyNumberFormat="1" applyFont="1" applyFill="1" applyBorder="1"/>
    <xf numFmtId="166" fontId="5" fillId="0" borderId="0" xfId="1" applyNumberFormat="1" applyFont="1" applyFill="1"/>
    <xf numFmtId="170" fontId="0" fillId="0" borderId="0" xfId="2" applyNumberFormat="1" applyFont="1" applyFill="1"/>
    <xf numFmtId="164" fontId="0" fillId="0" borderId="0" xfId="0" applyNumberFormat="1"/>
    <xf numFmtId="43" fontId="0" fillId="0" borderId="0" xfId="0" applyNumberFormat="1"/>
    <xf numFmtId="0" fontId="2" fillId="0" borderId="2" xfId="0" applyFont="1" applyBorder="1" applyAlignment="1">
      <alignment wrapText="1"/>
    </xf>
    <xf numFmtId="10" fontId="0" fillId="0" borderId="1" xfId="3" applyNumberFormat="1" applyFont="1" applyBorder="1"/>
    <xf numFmtId="166" fontId="0" fillId="0" borderId="8" xfId="1" applyNumberFormat="1" applyFont="1" applyFill="1" applyBorder="1"/>
    <xf numFmtId="0" fontId="6" fillId="0" borderId="0" xfId="0" applyFont="1"/>
    <xf numFmtId="10" fontId="0" fillId="0" borderId="0" xfId="3" applyNumberFormat="1" applyFont="1" applyBorder="1"/>
    <xf numFmtId="44" fontId="0" fillId="0" borderId="0" xfId="0" applyNumberFormat="1"/>
    <xf numFmtId="174" fontId="0" fillId="0" borderId="0" xfId="0" applyNumberFormat="1"/>
    <xf numFmtId="168" fontId="0" fillId="2" borderId="0" xfId="2" applyNumberFormat="1" applyFont="1" applyFill="1"/>
    <xf numFmtId="168" fontId="0" fillId="0" borderId="1" xfId="0" applyNumberFormat="1" applyBorder="1"/>
    <xf numFmtId="167" fontId="0" fillId="0" borderId="8" xfId="0" applyNumberFormat="1" applyBorder="1"/>
    <xf numFmtId="166" fontId="0" fillId="0" borderId="8" xfId="1" applyNumberFormat="1" applyFont="1" applyBorder="1"/>
    <xf numFmtId="43" fontId="0" fillId="0" borderId="0" xfId="1" applyFont="1"/>
    <xf numFmtId="0" fontId="0" fillId="0" borderId="0" xfId="0" applyAlignment="1">
      <alignment wrapText="1"/>
    </xf>
    <xf numFmtId="43" fontId="0" fillId="0" borderId="0" xfId="0" applyNumberFormat="1" applyAlignment="1">
      <alignment wrapText="1"/>
    </xf>
    <xf numFmtId="166" fontId="0" fillId="0" borderId="0" xfId="1" applyNumberFormat="1" applyFont="1" applyAlignment="1">
      <alignment wrapText="1"/>
    </xf>
    <xf numFmtId="166" fontId="0" fillId="0" borderId="0" xfId="0" applyNumberFormat="1" applyAlignment="1">
      <alignment wrapText="1"/>
    </xf>
    <xf numFmtId="10" fontId="0" fillId="0" borderId="0" xfId="0" applyNumberFormat="1"/>
    <xf numFmtId="166" fontId="0" fillId="0" borderId="0" xfId="1" applyNumberFormat="1" applyFont="1" applyFill="1" applyBorder="1"/>
    <xf numFmtId="167" fontId="0" fillId="0" borderId="0" xfId="2" applyNumberFormat="1" applyFont="1" applyFill="1" applyBorder="1"/>
    <xf numFmtId="166" fontId="2" fillId="0" borderId="0" xfId="1" applyNumberFormat="1" applyFont="1" applyFill="1" applyBorder="1" applyAlignment="1">
      <alignment horizontal="center"/>
    </xf>
    <xf numFmtId="0" fontId="0" fillId="0" borderId="0" xfId="0" applyAlignment="1">
      <alignment horizontal="right"/>
    </xf>
    <xf numFmtId="0" fontId="7" fillId="0" borderId="0" xfId="0" applyFont="1"/>
    <xf numFmtId="0" fontId="5" fillId="0" borderId="0" xfId="0" applyFont="1" applyAlignment="1">
      <alignment horizontal="left" wrapText="1"/>
    </xf>
    <xf numFmtId="0" fontId="0" fillId="0" borderId="2" xfId="0" applyBorder="1"/>
    <xf numFmtId="0" fontId="0" fillId="0" borderId="2" xfId="0" applyBorder="1" applyAlignment="1">
      <alignment wrapText="1"/>
    </xf>
    <xf numFmtId="168" fontId="0" fillId="0" borderId="15" xfId="2" applyNumberFormat="1" applyFont="1" applyBorder="1"/>
    <xf numFmtId="0" fontId="2" fillId="0" borderId="14" xfId="0" applyFont="1" applyBorder="1" applyAlignment="1">
      <alignment horizontal="center" wrapText="1"/>
    </xf>
    <xf numFmtId="168" fontId="0" fillId="0" borderId="15" xfId="2" applyNumberFormat="1" applyFont="1" applyFill="1" applyBorder="1"/>
    <xf numFmtId="178" fontId="0" fillId="0" borderId="0" xfId="2" applyNumberFormat="1" applyFont="1" applyBorder="1"/>
    <xf numFmtId="168" fontId="0" fillId="0" borderId="0" xfId="0" applyNumberFormat="1" applyAlignment="1">
      <alignment wrapText="1"/>
    </xf>
    <xf numFmtId="44" fontId="0" fillId="0" borderId="0" xfId="0" applyNumberFormat="1" applyAlignment="1">
      <alignment wrapText="1"/>
    </xf>
    <xf numFmtId="174" fontId="0" fillId="0" borderId="0" xfId="0" applyNumberFormat="1" applyAlignment="1">
      <alignment wrapText="1"/>
    </xf>
    <xf numFmtId="9" fontId="0" fillId="0" borderId="0" xfId="3" applyFont="1" applyBorder="1"/>
    <xf numFmtId="43" fontId="0" fillId="0" borderId="0" xfId="1" applyFont="1" applyBorder="1"/>
    <xf numFmtId="179" fontId="0" fillId="0" borderId="0" xfId="0" applyNumberFormat="1"/>
    <xf numFmtId="174" fontId="0" fillId="0" borderId="0" xfId="1" applyNumberFormat="1" applyFont="1"/>
    <xf numFmtId="179" fontId="0" fillId="0" borderId="0" xfId="0" applyNumberFormat="1" applyAlignment="1">
      <alignment wrapText="1"/>
    </xf>
    <xf numFmtId="180" fontId="0" fillId="0" borderId="0" xfId="0" applyNumberFormat="1" applyAlignment="1">
      <alignment wrapText="1"/>
    </xf>
    <xf numFmtId="0" fontId="0" fillId="0" borderId="23" xfId="0" applyBorder="1"/>
    <xf numFmtId="167" fontId="0" fillId="0" borderId="23" xfId="0" applyNumberFormat="1" applyBorder="1"/>
    <xf numFmtId="166" fontId="0" fillId="0" borderId="5" xfId="0" applyNumberFormat="1" applyBorder="1" applyAlignment="1">
      <alignment wrapText="1"/>
    </xf>
    <xf numFmtId="0" fontId="10" fillId="0" borderId="0" xfId="0" applyFont="1"/>
    <xf numFmtId="0" fontId="2" fillId="0" borderId="0" xfId="0" applyFont="1" applyAlignment="1">
      <alignment horizontal="left"/>
    </xf>
    <xf numFmtId="168" fontId="0" fillId="0" borderId="14" xfId="2" applyNumberFormat="1" applyFont="1" applyFill="1" applyBorder="1"/>
    <xf numFmtId="44" fontId="0" fillId="0" borderId="0" xfId="2" applyFont="1" applyFill="1"/>
    <xf numFmtId="10" fontId="0" fillId="0" borderId="0" xfId="3" applyNumberFormat="1" applyFont="1" applyFill="1" applyBorder="1"/>
    <xf numFmtId="0" fontId="0" fillId="0" borderId="0" xfId="0" applyAlignment="1">
      <alignment horizontal="left" wrapText="1"/>
    </xf>
    <xf numFmtId="0" fontId="0" fillId="0" borderId="10" xfId="0" applyBorder="1"/>
    <xf numFmtId="0" fontId="2" fillId="0" borderId="12" xfId="0" applyFont="1" applyBorder="1"/>
    <xf numFmtId="168" fontId="0" fillId="0" borderId="9" xfId="2" applyNumberFormat="1" applyFont="1" applyBorder="1"/>
    <xf numFmtId="168" fontId="0" fillId="0" borderId="11" xfId="2" applyNumberFormat="1" applyFont="1" applyBorder="1"/>
    <xf numFmtId="168" fontId="0" fillId="0" borderId="10" xfId="2" applyNumberFormat="1" applyFont="1" applyBorder="1"/>
    <xf numFmtId="181" fontId="0" fillId="0" borderId="0" xfId="2" applyNumberFormat="1" applyFont="1" applyFill="1"/>
    <xf numFmtId="0" fontId="13" fillId="0" borderId="0" xfId="0" applyFont="1"/>
    <xf numFmtId="0" fontId="13" fillId="0" borderId="0" xfId="0" applyFont="1" applyAlignment="1">
      <alignment horizontal="center"/>
    </xf>
    <xf numFmtId="168" fontId="13" fillId="0" borderId="0" xfId="2" applyNumberFormat="1" applyFont="1"/>
    <xf numFmtId="0" fontId="5" fillId="0" borderId="0" xfId="0" applyFont="1"/>
    <xf numFmtId="0" fontId="5" fillId="0" borderId="0" xfId="0" applyFont="1" applyAlignment="1">
      <alignment horizontal="center"/>
    </xf>
    <xf numFmtId="168" fontId="5" fillId="0" borderId="11" xfId="2" applyNumberFormat="1" applyFont="1" applyBorder="1"/>
    <xf numFmtId="168" fontId="5" fillId="0" borderId="0" xfId="2" applyNumberFormat="1" applyFont="1"/>
    <xf numFmtId="0" fontId="5" fillId="0" borderId="10" xfId="0" applyFont="1" applyBorder="1"/>
    <xf numFmtId="168" fontId="5" fillId="0" borderId="9" xfId="2" applyNumberFormat="1" applyFont="1" applyBorder="1"/>
    <xf numFmtId="168" fontId="5" fillId="0" borderId="10" xfId="2" applyNumberFormat="1" applyFont="1" applyBorder="1"/>
    <xf numFmtId="0" fontId="14" fillId="0" borderId="0" xfId="0" applyFont="1"/>
    <xf numFmtId="0" fontId="14" fillId="0" borderId="0" xfId="0" applyFont="1" applyAlignment="1">
      <alignment horizontal="center"/>
    </xf>
    <xf numFmtId="168" fontId="14" fillId="0" borderId="11" xfId="2" applyNumberFormat="1" applyFont="1" applyBorder="1"/>
    <xf numFmtId="168" fontId="14" fillId="0" borderId="0" xfId="2" applyNumberFormat="1" applyFont="1"/>
    <xf numFmtId="168" fontId="14" fillId="0" borderId="0" xfId="0" applyNumberFormat="1" applyFont="1"/>
    <xf numFmtId="0" fontId="12" fillId="0" borderId="0" xfId="0" applyFont="1"/>
    <xf numFmtId="0" fontId="12" fillId="0" borderId="0" xfId="0" applyFont="1" applyAlignment="1">
      <alignment horizontal="center"/>
    </xf>
    <xf numFmtId="168" fontId="12" fillId="0" borderId="11" xfId="2" applyNumberFormat="1" applyFont="1" applyBorder="1"/>
    <xf numFmtId="168" fontId="12" fillId="0" borderId="0" xfId="2" applyNumberFormat="1" applyFont="1"/>
    <xf numFmtId="0" fontId="0" fillId="6" borderId="0" xfId="0" applyFill="1"/>
    <xf numFmtId="0" fontId="0" fillId="6" borderId="0" xfId="0" applyFill="1" applyAlignment="1">
      <alignment horizontal="center"/>
    </xf>
    <xf numFmtId="0" fontId="2" fillId="6" borderId="0" xfId="0" applyFont="1" applyFill="1" applyAlignment="1">
      <alignment horizontal="center"/>
    </xf>
    <xf numFmtId="166" fontId="0" fillId="6" borderId="0" xfId="1" applyNumberFormat="1" applyFont="1" applyFill="1"/>
    <xf numFmtId="0" fontId="16" fillId="0" borderId="0" xfId="0" applyFont="1" applyAlignment="1">
      <alignment horizontal="left"/>
    </xf>
    <xf numFmtId="0" fontId="5" fillId="0" borderId="0" xfId="0" applyFont="1" applyAlignment="1">
      <alignment wrapText="1"/>
    </xf>
    <xf numFmtId="0" fontId="0" fillId="7" borderId="0" xfId="0" applyFill="1" applyAlignment="1">
      <alignment horizontal="left" wrapText="1"/>
    </xf>
    <xf numFmtId="0" fontId="0" fillId="0" borderId="4" xfId="0" applyBorder="1"/>
    <xf numFmtId="0" fontId="0" fillId="0" borderId="25" xfId="0" applyBorder="1"/>
    <xf numFmtId="166" fontId="0" fillId="4" borderId="26" xfId="0" applyNumberFormat="1" applyFill="1" applyBorder="1"/>
    <xf numFmtId="166" fontId="0" fillId="0" borderId="27" xfId="0" applyNumberFormat="1" applyBorder="1"/>
    <xf numFmtId="0" fontId="2" fillId="0" borderId="12" xfId="0" applyFont="1" applyBorder="1" applyAlignment="1">
      <alignment horizontal="center"/>
    </xf>
    <xf numFmtId="0" fontId="10" fillId="0" borderId="0" xfId="0" applyFont="1" applyAlignment="1">
      <alignment horizontal="center"/>
    </xf>
    <xf numFmtId="0" fontId="13" fillId="0" borderId="0" xfId="0" applyFont="1" applyAlignment="1">
      <alignment horizontal="right"/>
    </xf>
    <xf numFmtId="165" fontId="0" fillId="0" borderId="0" xfId="1" applyNumberFormat="1" applyFont="1" applyBorder="1"/>
    <xf numFmtId="0" fontId="0" fillId="0" borderId="2" xfId="0" applyBorder="1" applyAlignment="1">
      <alignment horizontal="center" wrapText="1"/>
    </xf>
    <xf numFmtId="43" fontId="0" fillId="0" borderId="2" xfId="0" applyNumberFormat="1" applyBorder="1" applyAlignment="1">
      <alignment horizontal="center" wrapText="1"/>
    </xf>
    <xf numFmtId="0" fontId="2" fillId="0" borderId="14" xfId="0" applyFont="1" applyBorder="1"/>
    <xf numFmtId="0" fontId="2" fillId="0" borderId="15" xfId="0" applyFont="1" applyBorder="1"/>
    <xf numFmtId="166" fontId="0" fillId="0" borderId="2" xfId="0" applyNumberFormat="1" applyBorder="1"/>
    <xf numFmtId="166" fontId="0" fillId="0" borderId="31" xfId="0" applyNumberFormat="1" applyBorder="1"/>
    <xf numFmtId="0" fontId="2" fillId="0" borderId="33" xfId="0" applyFont="1" applyBorder="1"/>
    <xf numFmtId="0" fontId="2" fillId="0" borderId="34" xfId="0" applyFont="1" applyBorder="1"/>
    <xf numFmtId="166" fontId="2" fillId="0" borderId="35" xfId="0" applyNumberFormat="1" applyFont="1" applyBorder="1" applyAlignment="1">
      <alignment horizontal="center" wrapText="1"/>
    </xf>
    <xf numFmtId="0" fontId="2" fillId="0" borderId="36" xfId="0" applyFont="1" applyBorder="1" applyAlignment="1">
      <alignment horizontal="center" wrapText="1"/>
    </xf>
    <xf numFmtId="0" fontId="2" fillId="0" borderId="37" xfId="0" applyFont="1" applyBorder="1" applyAlignment="1">
      <alignment horizontal="center"/>
    </xf>
    <xf numFmtId="166" fontId="0" fillId="4" borderId="39" xfId="0" applyNumberFormat="1" applyFill="1" applyBorder="1" applyAlignment="1">
      <alignment wrapText="1"/>
    </xf>
    <xf numFmtId="166" fontId="0" fillId="0" borderId="40" xfId="0" applyNumberFormat="1" applyBorder="1"/>
    <xf numFmtId="0" fontId="18" fillId="0" borderId="15" xfId="0" applyFont="1" applyBorder="1"/>
    <xf numFmtId="0" fontId="18" fillId="0" borderId="6" xfId="0" applyFont="1" applyBorder="1" applyAlignment="1">
      <alignment wrapText="1"/>
    </xf>
    <xf numFmtId="0" fontId="18" fillId="0" borderId="2" xfId="0" applyFont="1" applyBorder="1"/>
    <xf numFmtId="0" fontId="18" fillId="0" borderId="16" xfId="0" applyFont="1" applyBorder="1" applyAlignment="1">
      <alignment wrapText="1"/>
    </xf>
    <xf numFmtId="0" fontId="18" fillId="0" borderId="2" xfId="0" applyFont="1" applyBorder="1" applyAlignment="1">
      <alignment wrapText="1"/>
    </xf>
    <xf numFmtId="0" fontId="0" fillId="0" borderId="15" xfId="0" applyBorder="1"/>
    <xf numFmtId="0" fontId="2" fillId="0" borderId="35"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45" xfId="0" applyFont="1" applyBorder="1" applyAlignment="1">
      <alignment horizontal="center" wrapText="1"/>
    </xf>
    <xf numFmtId="0" fontId="2" fillId="0" borderId="38" xfId="0" applyFont="1" applyBorder="1" applyAlignment="1">
      <alignment horizontal="center"/>
    </xf>
    <xf numFmtId="0" fontId="0" fillId="0" borderId="19" xfId="0" applyBorder="1" applyAlignment="1">
      <alignment horizontal="left"/>
    </xf>
    <xf numFmtId="0" fontId="2" fillId="0" borderId="34" xfId="0" applyFont="1" applyBorder="1" applyAlignment="1">
      <alignment horizontal="center" wrapText="1"/>
    </xf>
    <xf numFmtId="166" fontId="0" fillId="0" borderId="47" xfId="0" applyNumberFormat="1" applyBorder="1"/>
    <xf numFmtId="0" fontId="0" fillId="0" borderId="47" xfId="0" applyBorder="1"/>
    <xf numFmtId="166" fontId="0" fillId="0" borderId="48" xfId="0" applyNumberFormat="1" applyBorder="1"/>
    <xf numFmtId="166" fontId="0" fillId="0" borderId="49" xfId="0" applyNumberFormat="1" applyBorder="1"/>
    <xf numFmtId="167" fontId="0" fillId="0" borderId="48" xfId="0" applyNumberFormat="1" applyBorder="1"/>
    <xf numFmtId="166" fontId="0" fillId="0" borderId="16" xfId="0" applyNumberFormat="1" applyBorder="1"/>
    <xf numFmtId="167" fontId="0" fillId="0" borderId="16" xfId="0" applyNumberFormat="1" applyBorder="1"/>
    <xf numFmtId="43" fontId="0" fillId="0" borderId="27" xfId="0" applyNumberFormat="1" applyBorder="1"/>
    <xf numFmtId="167" fontId="0" fillId="0" borderId="31" xfId="0" applyNumberFormat="1" applyBorder="1"/>
    <xf numFmtId="166" fontId="0" fillId="0" borderId="52" xfId="0" applyNumberFormat="1" applyBorder="1"/>
    <xf numFmtId="166" fontId="0" fillId="4" borderId="53" xfId="0" applyNumberFormat="1" applyFill="1" applyBorder="1"/>
    <xf numFmtId="0" fontId="0" fillId="0" borderId="0" xfId="0" applyAlignment="1">
      <alignment horizontal="left"/>
    </xf>
    <xf numFmtId="166" fontId="0" fillId="0" borderId="54" xfId="0" applyNumberFormat="1" applyBorder="1" applyAlignment="1">
      <alignment wrapText="1"/>
    </xf>
    <xf numFmtId="167" fontId="0" fillId="0" borderId="55" xfId="2" applyNumberFormat="1" applyFont="1" applyFill="1" applyBorder="1" applyAlignment="1">
      <alignment wrapText="1"/>
    </xf>
    <xf numFmtId="168" fontId="0" fillId="0" borderId="56" xfId="0" applyNumberFormat="1" applyBorder="1" applyAlignment="1">
      <alignment wrapText="1"/>
    </xf>
    <xf numFmtId="166" fontId="0" fillId="0" borderId="57" xfId="0" applyNumberFormat="1" applyBorder="1" applyAlignment="1">
      <alignment wrapText="1"/>
    </xf>
    <xf numFmtId="166" fontId="0" fillId="0" borderId="54" xfId="1" applyNumberFormat="1" applyFont="1" applyBorder="1" applyAlignment="1">
      <alignment wrapText="1"/>
    </xf>
    <xf numFmtId="167" fontId="0" fillId="0" borderId="55" xfId="2" applyNumberFormat="1" applyFont="1" applyBorder="1" applyAlignment="1">
      <alignment wrapText="1"/>
    </xf>
    <xf numFmtId="166" fontId="0" fillId="0" borderId="59" xfId="0" applyNumberFormat="1" applyBorder="1" applyAlignment="1">
      <alignment wrapText="1"/>
    </xf>
    <xf numFmtId="167" fontId="0" fillId="0" borderId="32" xfId="2" applyNumberFormat="1" applyFont="1" applyFill="1" applyBorder="1" applyAlignment="1">
      <alignment wrapText="1"/>
    </xf>
    <xf numFmtId="168" fontId="0" fillId="0" borderId="60" xfId="2" applyNumberFormat="1" applyFont="1" applyBorder="1" applyAlignment="1">
      <alignment wrapText="1"/>
    </xf>
    <xf numFmtId="0" fontId="2" fillId="0" borderId="35" xfId="0" applyFont="1" applyBorder="1" applyAlignment="1">
      <alignment horizontal="center" wrapText="1"/>
    </xf>
    <xf numFmtId="0" fontId="0" fillId="3" borderId="30" xfId="0" applyFill="1" applyBorder="1"/>
    <xf numFmtId="0" fontId="0" fillId="3" borderId="3" xfId="0" applyFill="1" applyBorder="1"/>
    <xf numFmtId="0" fontId="0" fillId="3" borderId="4" xfId="0" applyFill="1" applyBorder="1"/>
    <xf numFmtId="0" fontId="2" fillId="0" borderId="38" xfId="0" applyFont="1" applyBorder="1" applyAlignment="1">
      <alignment horizontal="center" wrapText="1"/>
    </xf>
    <xf numFmtId="0" fontId="0" fillId="3" borderId="21" xfId="0" applyFill="1" applyBorder="1"/>
    <xf numFmtId="166" fontId="0" fillId="2" borderId="0" xfId="1" applyNumberFormat="1" applyFont="1" applyFill="1" applyProtection="1"/>
    <xf numFmtId="166" fontId="0" fillId="0" borderId="0" xfId="1" applyNumberFormat="1" applyFont="1" applyFill="1" applyProtection="1"/>
    <xf numFmtId="166" fontId="0" fillId="0" borderId="8" xfId="1" applyNumberFormat="1" applyFont="1" applyFill="1" applyBorder="1" applyProtection="1"/>
    <xf numFmtId="10" fontId="0" fillId="0" borderId="0" xfId="3" applyNumberFormat="1" applyFont="1" applyProtection="1"/>
    <xf numFmtId="166" fontId="0" fillId="0" borderId="0" xfId="1" applyNumberFormat="1" applyFont="1" applyProtection="1"/>
    <xf numFmtId="10" fontId="0" fillId="0" borderId="0" xfId="3" applyNumberFormat="1" applyFont="1" applyFill="1" applyProtection="1"/>
    <xf numFmtId="176" fontId="0" fillId="0" borderId="0" xfId="1" applyNumberFormat="1" applyFont="1" applyProtection="1"/>
    <xf numFmtId="0" fontId="15" fillId="0" borderId="0" xfId="0" applyFont="1"/>
    <xf numFmtId="170" fontId="0" fillId="0" borderId="0" xfId="2" applyNumberFormat="1" applyFont="1" applyFill="1" applyProtection="1"/>
    <xf numFmtId="10" fontId="0" fillId="2" borderId="0" xfId="3" applyNumberFormat="1" applyFont="1" applyFill="1" applyProtection="1"/>
    <xf numFmtId="170" fontId="0" fillId="0" borderId="0" xfId="2" applyNumberFormat="1" applyFont="1" applyProtection="1"/>
    <xf numFmtId="43" fontId="0" fillId="0" borderId="0" xfId="1" applyFont="1" applyProtection="1"/>
    <xf numFmtId="43" fontId="0" fillId="0" borderId="0" xfId="1" applyFont="1" applyFill="1" applyProtection="1"/>
    <xf numFmtId="167" fontId="0" fillId="2" borderId="0" xfId="2" applyNumberFormat="1" applyFont="1" applyFill="1" applyProtection="1"/>
    <xf numFmtId="167" fontId="0" fillId="0" borderId="0" xfId="2" applyNumberFormat="1" applyFont="1" applyFill="1" applyProtection="1"/>
    <xf numFmtId="167" fontId="0" fillId="0" borderId="0" xfId="2" applyNumberFormat="1" applyFont="1" applyProtection="1"/>
    <xf numFmtId="167" fontId="0" fillId="0" borderId="0" xfId="2" applyNumberFormat="1" applyFont="1" applyFill="1" applyBorder="1" applyProtection="1"/>
    <xf numFmtId="168" fontId="0" fillId="2" borderId="0" xfId="0" applyNumberFormat="1" applyFill="1"/>
    <xf numFmtId="174" fontId="0" fillId="0" borderId="0" xfId="1" applyNumberFormat="1" applyFont="1" applyProtection="1"/>
    <xf numFmtId="182" fontId="0" fillId="0" borderId="0" xfId="0" applyNumberFormat="1"/>
    <xf numFmtId="175" fontId="0" fillId="0" borderId="0" xfId="0" applyNumberFormat="1"/>
    <xf numFmtId="166" fontId="2" fillId="0" borderId="0" xfId="1" applyNumberFormat="1" applyFont="1" applyBorder="1" applyAlignment="1" applyProtection="1">
      <alignment horizontal="center" wrapText="1"/>
    </xf>
    <xf numFmtId="168" fontId="2" fillId="0" borderId="0" xfId="2" applyNumberFormat="1" applyFont="1" applyBorder="1" applyAlignment="1" applyProtection="1">
      <alignment horizontal="center"/>
    </xf>
    <xf numFmtId="166" fontId="2" fillId="0" borderId="0" xfId="1" applyNumberFormat="1" applyFont="1" applyBorder="1" applyAlignment="1" applyProtection="1">
      <alignment horizontal="center"/>
    </xf>
    <xf numFmtId="168" fontId="1" fillId="2" borderId="0" xfId="2" applyNumberFormat="1" applyFont="1" applyFill="1" applyBorder="1" applyAlignment="1" applyProtection="1">
      <alignment horizontal="center"/>
    </xf>
    <xf numFmtId="168" fontId="0" fillId="2" borderId="0" xfId="2" applyNumberFormat="1" applyFont="1" applyFill="1" applyProtection="1"/>
    <xf numFmtId="168" fontId="0" fillId="0" borderId="0" xfId="2" applyNumberFormat="1" applyFont="1" applyFill="1" applyProtection="1"/>
    <xf numFmtId="44" fontId="0" fillId="0" borderId="0" xfId="2" applyFont="1" applyProtection="1"/>
    <xf numFmtId="44" fontId="0" fillId="0" borderId="0" xfId="2" applyFont="1" applyFill="1" applyProtection="1"/>
    <xf numFmtId="168" fontId="0" fillId="0" borderId="0" xfId="2" applyNumberFormat="1" applyFont="1" applyFill="1" applyBorder="1" applyProtection="1"/>
    <xf numFmtId="168" fontId="0" fillId="0" borderId="0" xfId="2" applyNumberFormat="1" applyFont="1" applyBorder="1" applyProtection="1"/>
    <xf numFmtId="168" fontId="0" fillId="0" borderId="1" xfId="2" applyNumberFormat="1" applyFont="1" applyBorder="1" applyProtection="1"/>
    <xf numFmtId="166" fontId="0" fillId="0" borderId="0" xfId="1" applyNumberFormat="1" applyFont="1" applyBorder="1" applyProtection="1"/>
    <xf numFmtId="168" fontId="2" fillId="0" borderId="0" xfId="2" applyNumberFormat="1" applyFont="1" applyFill="1" applyBorder="1" applyAlignment="1" applyProtection="1">
      <alignment horizontal="center"/>
    </xf>
    <xf numFmtId="168" fontId="1" fillId="0" borderId="0" xfId="2" applyNumberFormat="1" applyFont="1" applyFill="1" applyBorder="1" applyProtection="1"/>
    <xf numFmtId="174" fontId="0" fillId="0" borderId="0" xfId="1" applyNumberFormat="1" applyFont="1" applyBorder="1" applyProtection="1"/>
    <xf numFmtId="166" fontId="1" fillId="0" borderId="0" xfId="1" applyNumberFormat="1" applyFont="1" applyBorder="1" applyProtection="1"/>
    <xf numFmtId="177" fontId="0" fillId="0" borderId="0" xfId="3" applyNumberFormat="1" applyFont="1" applyBorder="1" applyProtection="1"/>
    <xf numFmtId="181" fontId="0" fillId="0" borderId="0" xfId="2" applyNumberFormat="1" applyFont="1" applyFill="1" applyProtection="1"/>
    <xf numFmtId="43" fontId="0" fillId="0" borderId="0" xfId="1" applyFont="1" applyBorder="1" applyProtection="1"/>
    <xf numFmtId="166" fontId="0" fillId="0" borderId="8" xfId="1" applyNumberFormat="1" applyFont="1" applyBorder="1" applyProtection="1"/>
    <xf numFmtId="166" fontId="0" fillId="0" borderId="0" xfId="1" applyNumberFormat="1" applyFont="1" applyFill="1" applyBorder="1" applyProtection="1"/>
    <xf numFmtId="183" fontId="0" fillId="0" borderId="0" xfId="1" applyNumberFormat="1" applyFont="1" applyProtection="1"/>
    <xf numFmtId="183" fontId="0" fillId="0" borderId="0" xfId="1" applyNumberFormat="1" applyFont="1"/>
    <xf numFmtId="184" fontId="0" fillId="0" borderId="0" xfId="0" applyNumberFormat="1"/>
    <xf numFmtId="185" fontId="0" fillId="0" borderId="0" xfId="0" applyNumberFormat="1"/>
    <xf numFmtId="185" fontId="0" fillId="0" borderId="0" xfId="1" applyNumberFormat="1" applyFont="1"/>
    <xf numFmtId="178" fontId="0" fillId="0" borderId="0" xfId="0" applyNumberFormat="1"/>
    <xf numFmtId="180" fontId="0" fillId="0" borderId="0" xfId="0" applyNumberFormat="1"/>
    <xf numFmtId="179" fontId="0" fillId="0" borderId="0" xfId="1" applyNumberFormat="1" applyFont="1" applyBorder="1"/>
    <xf numFmtId="178" fontId="0" fillId="0" borderId="0" xfId="3" applyNumberFormat="1" applyFont="1" applyBorder="1"/>
    <xf numFmtId="186" fontId="0" fillId="0" borderId="0" xfId="2" applyNumberFormat="1" applyFont="1" applyBorder="1"/>
    <xf numFmtId="181" fontId="0" fillId="0" borderId="0" xfId="0" applyNumberFormat="1"/>
    <xf numFmtId="164" fontId="0" fillId="0" borderId="0" xfId="2" applyNumberFormat="1" applyFont="1" applyFill="1" applyProtection="1"/>
    <xf numFmtId="168" fontId="2" fillId="0" borderId="0" xfId="0" applyNumberFormat="1" applyFont="1"/>
    <xf numFmtId="183" fontId="0" fillId="0" borderId="0" xfId="0" applyNumberFormat="1"/>
    <xf numFmtId="0" fontId="0" fillId="0" borderId="62" xfId="0" applyBorder="1"/>
    <xf numFmtId="166" fontId="0" fillId="0" borderId="62" xfId="1" applyNumberFormat="1" applyFont="1" applyFill="1" applyBorder="1"/>
    <xf numFmtId="166" fontId="0" fillId="0" borderId="63" xfId="1" applyNumberFormat="1" applyFont="1" applyFill="1" applyBorder="1"/>
    <xf numFmtId="0" fontId="0" fillId="0" borderId="64" xfId="0" applyBorder="1"/>
    <xf numFmtId="0" fontId="0" fillId="0" borderId="65" xfId="0"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168" fontId="0" fillId="0" borderId="65" xfId="2" applyNumberFormat="1" applyFont="1" applyFill="1" applyBorder="1"/>
    <xf numFmtId="168" fontId="0" fillId="0" borderId="66" xfId="2" applyNumberFormat="1" applyFont="1" applyFill="1" applyBorder="1"/>
    <xf numFmtId="0" fontId="0" fillId="0" borderId="63" xfId="0" applyBorder="1"/>
    <xf numFmtId="0" fontId="0" fillId="0" borderId="65" xfId="0" applyBorder="1"/>
    <xf numFmtId="0" fontId="0" fillId="7" borderId="64" xfId="0" applyFill="1" applyBorder="1"/>
    <xf numFmtId="0" fontId="0" fillId="7" borderId="0" xfId="0" applyFill="1"/>
    <xf numFmtId="0" fontId="0" fillId="7" borderId="0" xfId="0" applyFill="1" applyAlignment="1">
      <alignment horizontal="center"/>
    </xf>
    <xf numFmtId="0" fontId="0" fillId="7" borderId="65" xfId="0" applyFill="1" applyBorder="1" applyAlignment="1">
      <alignment horizontal="center"/>
    </xf>
    <xf numFmtId="0" fontId="2" fillId="7" borderId="64" xfId="0" applyFont="1" applyFill="1" applyBorder="1" applyAlignment="1">
      <alignment horizontal="center"/>
    </xf>
    <xf numFmtId="0" fontId="2" fillId="7" borderId="0" xfId="0" applyFont="1" applyFill="1" applyAlignment="1">
      <alignment horizontal="center"/>
    </xf>
    <xf numFmtId="0" fontId="2" fillId="7" borderId="65" xfId="0" applyFont="1" applyFill="1" applyBorder="1" applyAlignment="1">
      <alignment horizontal="center"/>
    </xf>
    <xf numFmtId="0" fontId="0" fillId="7" borderId="64" xfId="0" applyFill="1" applyBorder="1" applyAlignment="1">
      <alignment wrapText="1"/>
    </xf>
    <xf numFmtId="0" fontId="0" fillId="7" borderId="0" xfId="0" applyFill="1" applyAlignment="1">
      <alignment wrapText="1"/>
    </xf>
    <xf numFmtId="168" fontId="0" fillId="0" borderId="65" xfId="0" applyNumberFormat="1" applyBorder="1"/>
    <xf numFmtId="0" fontId="20" fillId="0" borderId="0" xfId="0" applyFont="1" applyAlignment="1">
      <alignment horizontal="center"/>
    </xf>
    <xf numFmtId="0" fontId="0" fillId="0" borderId="62" xfId="0" applyBorder="1" applyAlignment="1">
      <alignment horizontal="left" wrapText="1"/>
    </xf>
    <xf numFmtId="0" fontId="0" fillId="0" borderId="63" xfId="0" applyBorder="1" applyAlignment="1">
      <alignment horizontal="left" wrapText="1"/>
    </xf>
    <xf numFmtId="0" fontId="0" fillId="0" borderId="65" xfId="0" applyBorder="1" applyAlignment="1">
      <alignment horizontal="left" wrapText="1"/>
    </xf>
    <xf numFmtId="0" fontId="0" fillId="0" borderId="67" xfId="0" applyBorder="1"/>
    <xf numFmtId="0" fontId="0" fillId="0" borderId="68" xfId="0" applyBorder="1"/>
    <xf numFmtId="168" fontId="0" fillId="0" borderId="68" xfId="2" applyNumberFormat="1" applyFont="1" applyFill="1" applyBorder="1"/>
    <xf numFmtId="168" fontId="0" fillId="0" borderId="69" xfId="2" applyNumberFormat="1" applyFont="1" applyFill="1" applyBorder="1"/>
    <xf numFmtId="0" fontId="0" fillId="0" borderId="69" xfId="0" applyBorder="1"/>
    <xf numFmtId="168" fontId="0" fillId="0" borderId="0" xfId="0" applyNumberFormat="1" applyAlignment="1">
      <alignment horizontal="center"/>
    </xf>
    <xf numFmtId="168" fontId="0" fillId="0" borderId="62" xfId="2" applyNumberFormat="1" applyFont="1" applyFill="1" applyBorder="1"/>
    <xf numFmtId="168" fontId="0" fillId="0" borderId="63" xfId="2" applyNumberFormat="1" applyFont="1" applyFill="1" applyBorder="1"/>
    <xf numFmtId="176" fontId="0" fillId="0" borderId="0" xfId="0" applyNumberFormat="1"/>
    <xf numFmtId="168" fontId="13" fillId="0" borderId="1" xfId="2" applyNumberFormat="1" applyFont="1" applyFill="1" applyBorder="1" applyProtection="1"/>
    <xf numFmtId="187" fontId="0" fillId="0" borderId="0" xfId="0" applyNumberFormat="1"/>
    <xf numFmtId="178" fontId="0" fillId="0" borderId="0" xfId="2" applyNumberFormat="1" applyFont="1"/>
    <xf numFmtId="168" fontId="13" fillId="0" borderId="0" xfId="2" applyNumberFormat="1" applyFont="1" applyFill="1"/>
    <xf numFmtId="167" fontId="13" fillId="0" borderId="0" xfId="2" applyNumberFormat="1" applyFont="1" applyBorder="1"/>
    <xf numFmtId="172" fontId="13" fillId="0" borderId="0" xfId="0" applyNumberFormat="1" applyFont="1"/>
    <xf numFmtId="166" fontId="13" fillId="0" borderId="0" xfId="3" applyNumberFormat="1" applyFont="1"/>
    <xf numFmtId="167" fontId="13" fillId="0" borderId="7" xfId="2" applyNumberFormat="1" applyFont="1" applyBorder="1"/>
    <xf numFmtId="172" fontId="13" fillId="0" borderId="7" xfId="0" applyNumberFormat="1" applyFont="1" applyBorder="1"/>
    <xf numFmtId="168" fontId="13" fillId="0" borderId="1" xfId="2" applyNumberFormat="1" applyFont="1" applyFill="1" applyBorder="1"/>
    <xf numFmtId="168" fontId="13" fillId="0" borderId="1" xfId="2" applyNumberFormat="1" applyFont="1" applyBorder="1"/>
    <xf numFmtId="168" fontId="13" fillId="0" borderId="0" xfId="2" applyNumberFormat="1" applyFont="1" applyBorder="1"/>
    <xf numFmtId="168" fontId="13" fillId="0" borderId="7" xfId="2" applyNumberFormat="1" applyFont="1" applyBorder="1"/>
    <xf numFmtId="168" fontId="13" fillId="0" borderId="24" xfId="2" applyNumberFormat="1" applyFont="1" applyBorder="1"/>
    <xf numFmtId="0" fontId="21" fillId="0" borderId="0" xfId="0" applyFont="1"/>
    <xf numFmtId="170" fontId="5" fillId="0" borderId="0" xfId="2" applyNumberFormat="1" applyFont="1" applyProtection="1"/>
    <xf numFmtId="166" fontId="5" fillId="0" borderId="1" xfId="0" applyNumberFormat="1" applyFont="1" applyBorder="1"/>
    <xf numFmtId="10" fontId="5" fillId="0" borderId="1" xfId="0" applyNumberFormat="1" applyFont="1" applyBorder="1"/>
    <xf numFmtId="166" fontId="5" fillId="0" borderId="1" xfId="1" applyNumberFormat="1" applyFont="1" applyBorder="1" applyProtection="1"/>
    <xf numFmtId="167" fontId="5" fillId="0" borderId="0" xfId="2" applyNumberFormat="1" applyFont="1" applyBorder="1"/>
    <xf numFmtId="168" fontId="13" fillId="0" borderId="65" xfId="2" applyNumberFormat="1" applyFont="1" applyFill="1" applyBorder="1"/>
    <xf numFmtId="168" fontId="13" fillId="0" borderId="0" xfId="2" applyNumberFormat="1" applyFont="1" applyFill="1" applyBorder="1"/>
    <xf numFmtId="169" fontId="13" fillId="0" borderId="0" xfId="0" applyNumberFormat="1" applyFont="1"/>
    <xf numFmtId="169" fontId="13" fillId="0" borderId="65" xfId="0" applyNumberFormat="1" applyFont="1" applyBorder="1"/>
    <xf numFmtId="168" fontId="13" fillId="0" borderId="66" xfId="2" applyNumberFormat="1" applyFont="1" applyFill="1" applyBorder="1"/>
    <xf numFmtId="0" fontId="13" fillId="0" borderId="65" xfId="0" applyFont="1" applyBorder="1"/>
    <xf numFmtId="168" fontId="13" fillId="7" borderId="0" xfId="0" applyNumberFormat="1" applyFont="1" applyFill="1"/>
    <xf numFmtId="168" fontId="13" fillId="7" borderId="65" xfId="0" applyNumberFormat="1" applyFont="1" applyFill="1" applyBorder="1"/>
    <xf numFmtId="168" fontId="13" fillId="0" borderId="0" xfId="0" applyNumberFormat="1" applyFont="1"/>
    <xf numFmtId="168" fontId="13" fillId="0" borderId="11" xfId="2" applyNumberFormat="1" applyFont="1" applyBorder="1"/>
    <xf numFmtId="168" fontId="13" fillId="0" borderId="29" xfId="2" applyNumberFormat="1" applyFont="1" applyBorder="1"/>
    <xf numFmtId="168" fontId="23" fillId="0" borderId="0" xfId="2" applyNumberFormat="1" applyFont="1"/>
    <xf numFmtId="168" fontId="23" fillId="0" borderId="11" xfId="2" applyNumberFormat="1" applyFont="1" applyBorder="1"/>
    <xf numFmtId="168" fontId="13" fillId="0" borderId="10" xfId="2" applyNumberFormat="1" applyFont="1" applyBorder="1"/>
    <xf numFmtId="168" fontId="22" fillId="0" borderId="11" xfId="2" applyNumberFormat="1" applyFont="1" applyBorder="1"/>
    <xf numFmtId="167" fontId="5" fillId="0" borderId="0" xfId="2" applyNumberFormat="1" applyFont="1" applyFill="1" applyProtection="1"/>
    <xf numFmtId="167" fontId="5" fillId="0" borderId="0" xfId="2" applyNumberFormat="1" applyFont="1" applyProtection="1"/>
    <xf numFmtId="166" fontId="5" fillId="0" borderId="24" xfId="0" applyNumberFormat="1" applyFont="1" applyBorder="1"/>
    <xf numFmtId="168" fontId="5" fillId="0" borderId="24" xfId="2" applyNumberFormat="1" applyFont="1" applyBorder="1"/>
    <xf numFmtId="168" fontId="5" fillId="0" borderId="1" xfId="2" applyNumberFormat="1" applyFont="1" applyFill="1" applyBorder="1"/>
    <xf numFmtId="168" fontId="5" fillId="0" borderId="1" xfId="2" applyNumberFormat="1" applyFont="1" applyBorder="1"/>
    <xf numFmtId="168" fontId="5" fillId="0" borderId="65" xfId="2" applyNumberFormat="1" applyFont="1" applyFill="1" applyBorder="1"/>
    <xf numFmtId="168" fontId="5" fillId="6" borderId="0" xfId="2" applyNumberFormat="1" applyFont="1" applyFill="1"/>
    <xf numFmtId="168" fontId="5" fillId="0" borderId="0" xfId="2" applyNumberFormat="1" applyFont="1" applyFill="1" applyBorder="1"/>
    <xf numFmtId="0" fontId="25" fillId="0" borderId="62" xfId="0" applyFont="1" applyBorder="1"/>
    <xf numFmtId="0" fontId="26" fillId="6" borderId="0" xfId="0" applyFont="1" applyFill="1"/>
    <xf numFmtId="0" fontId="26" fillId="0" borderId="0" xfId="0" applyFont="1"/>
    <xf numFmtId="0" fontId="21" fillId="0" borderId="0" xfId="0" applyFont="1" applyAlignment="1">
      <alignment horizontal="center"/>
    </xf>
    <xf numFmtId="0" fontId="28" fillId="0" borderId="0" xfId="0" applyFont="1"/>
    <xf numFmtId="0" fontId="29" fillId="0" borderId="0" xfId="0" applyFont="1"/>
    <xf numFmtId="0" fontId="28" fillId="0" borderId="61" xfId="0" quotePrefix="1" applyFont="1" applyBorder="1"/>
    <xf numFmtId="0" fontId="28" fillId="6" borderId="0" xfId="0" quotePrefix="1" applyFont="1" applyFill="1"/>
    <xf numFmtId="0" fontId="28" fillId="0" borderId="61" xfId="0" quotePrefix="1" applyFont="1" applyBorder="1" applyAlignment="1">
      <alignment vertical="top"/>
    </xf>
    <xf numFmtId="0" fontId="31" fillId="0" borderId="71" xfId="0" applyFont="1" applyBorder="1" applyAlignment="1">
      <alignment horizontal="center" vertical="top"/>
    </xf>
    <xf numFmtId="0" fontId="31" fillId="0" borderId="73" xfId="0" applyFont="1" applyBorder="1" applyAlignment="1">
      <alignment horizontal="center" vertical="top"/>
    </xf>
    <xf numFmtId="0" fontId="31" fillId="0" borderId="75" xfId="0" applyFont="1" applyBorder="1" applyAlignment="1">
      <alignment horizontal="center" vertical="top"/>
    </xf>
    <xf numFmtId="0" fontId="31" fillId="0" borderId="75" xfId="4" applyFont="1" applyBorder="1" applyAlignment="1">
      <alignment horizontal="left" vertical="top" wrapText="1"/>
    </xf>
    <xf numFmtId="0" fontId="31" fillId="0" borderId="73" xfId="4" applyFont="1" applyBorder="1" applyAlignment="1">
      <alignment horizontal="left" vertical="top" wrapText="1"/>
    </xf>
    <xf numFmtId="0" fontId="31" fillId="0" borderId="71" xfId="4" applyFont="1" applyBorder="1" applyAlignment="1">
      <alignment horizontal="left" vertical="top" wrapText="1"/>
    </xf>
    <xf numFmtId="0" fontId="33" fillId="0" borderId="72" xfId="0" applyFont="1" applyBorder="1" applyAlignment="1">
      <alignment horizontal="left" vertical="top" indent="1"/>
    </xf>
    <xf numFmtId="0" fontId="34" fillId="0" borderId="72" xfId="0" applyFont="1" applyBorder="1" applyAlignment="1">
      <alignment horizontal="left" vertical="top" indent="1"/>
    </xf>
    <xf numFmtId="0" fontId="36" fillId="0" borderId="74" xfId="0" applyFont="1" applyBorder="1" applyAlignment="1">
      <alignment horizontal="left" vertical="top" indent="1"/>
    </xf>
    <xf numFmtId="1" fontId="2" fillId="0" borderId="0" xfId="0" applyNumberFormat="1" applyFont="1"/>
    <xf numFmtId="0" fontId="2" fillId="0" borderId="0" xfId="0" applyFont="1" applyAlignment="1">
      <alignment horizontal="right" wrapText="1"/>
    </xf>
    <xf numFmtId="166" fontId="21" fillId="2" borderId="0" xfId="1" applyNumberFormat="1" applyFont="1" applyFill="1"/>
    <xf numFmtId="167" fontId="13" fillId="0" borderId="4" xfId="2" applyNumberFormat="1" applyFont="1" applyBorder="1"/>
    <xf numFmtId="167" fontId="0" fillId="0" borderId="0" xfId="2" applyNumberFormat="1" applyFont="1" applyFill="1"/>
    <xf numFmtId="166" fontId="5" fillId="0" borderId="0" xfId="0" applyNumberFormat="1" applyFont="1"/>
    <xf numFmtId="168" fontId="5" fillId="0" borderId="0" xfId="2" applyNumberFormat="1" applyFont="1" applyBorder="1"/>
    <xf numFmtId="166" fontId="21" fillId="0" borderId="0" xfId="1" applyNumberFormat="1" applyFont="1" applyFill="1"/>
    <xf numFmtId="10" fontId="5" fillId="2" borderId="0" xfId="3" applyNumberFormat="1" applyFont="1" applyFill="1" applyProtection="1"/>
    <xf numFmtId="183" fontId="5" fillId="0" borderId="0" xfId="1" applyNumberFormat="1" applyFont="1" applyProtection="1"/>
    <xf numFmtId="10" fontId="5" fillId="0" borderId="0" xfId="3" applyNumberFormat="1" applyFont="1" applyFill="1" applyProtection="1"/>
    <xf numFmtId="166" fontId="5" fillId="0" borderId="0" xfId="1" applyNumberFormat="1" applyFont="1" applyProtection="1"/>
    <xf numFmtId="168" fontId="5" fillId="0" borderId="0" xfId="2" applyNumberFormat="1" applyFont="1" applyFill="1" applyProtection="1"/>
    <xf numFmtId="166" fontId="5" fillId="0" borderId="0" xfId="1" applyNumberFormat="1" applyFont="1" applyFill="1" applyProtection="1"/>
    <xf numFmtId="171" fontId="5" fillId="0" borderId="0" xfId="0" applyNumberFormat="1" applyFont="1"/>
    <xf numFmtId="168" fontId="5" fillId="0" borderId="1" xfId="2" applyNumberFormat="1" applyFont="1" applyFill="1" applyBorder="1" applyProtection="1"/>
    <xf numFmtId="168" fontId="5" fillId="0" borderId="1" xfId="2" applyNumberFormat="1" applyFont="1" applyBorder="1" applyProtection="1"/>
    <xf numFmtId="168" fontId="5" fillId="0" borderId="24" xfId="0" applyNumberFormat="1" applyFont="1" applyBorder="1"/>
    <xf numFmtId="10" fontId="5" fillId="0" borderId="0" xfId="3" applyNumberFormat="1" applyFont="1" applyFill="1"/>
    <xf numFmtId="183" fontId="5" fillId="0" borderId="0" xfId="1" applyNumberFormat="1" applyFont="1"/>
    <xf numFmtId="168" fontId="5" fillId="0" borderId="0" xfId="2" applyNumberFormat="1" applyFont="1" applyFill="1"/>
    <xf numFmtId="168" fontId="5" fillId="0" borderId="7" xfId="2" applyNumberFormat="1" applyFont="1" applyFill="1" applyBorder="1"/>
    <xf numFmtId="167" fontId="5" fillId="0" borderId="0" xfId="2" applyNumberFormat="1" applyFont="1"/>
    <xf numFmtId="166" fontId="5" fillId="0" borderId="0" xfId="1" applyNumberFormat="1" applyFont="1"/>
    <xf numFmtId="166" fontId="5" fillId="0" borderId="1" xfId="1" applyNumberFormat="1" applyFont="1" applyBorder="1"/>
    <xf numFmtId="167" fontId="5" fillId="0" borderId="4" xfId="2" applyNumberFormat="1" applyFont="1" applyBorder="1"/>
    <xf numFmtId="167" fontId="5" fillId="0" borderId="7" xfId="2" applyNumberFormat="1" applyFont="1" applyBorder="1"/>
    <xf numFmtId="167" fontId="5" fillId="0" borderId="70" xfId="2" applyNumberFormat="1" applyFont="1" applyBorder="1"/>
    <xf numFmtId="166" fontId="5" fillId="0" borderId="0" xfId="3" applyNumberFormat="1" applyFont="1"/>
    <xf numFmtId="166" fontId="5" fillId="0" borderId="0" xfId="3" applyNumberFormat="1" applyFont="1" applyBorder="1"/>
    <xf numFmtId="168" fontId="5" fillId="0" borderId="14" xfId="2" applyNumberFormat="1" applyFont="1" applyFill="1" applyBorder="1"/>
    <xf numFmtId="168" fontId="5" fillId="0" borderId="14" xfId="2" applyNumberFormat="1" applyFont="1" applyBorder="1"/>
    <xf numFmtId="167" fontId="5" fillId="0" borderId="47" xfId="0" applyNumberFormat="1" applyFont="1" applyBorder="1"/>
    <xf numFmtId="166" fontId="5" fillId="0" borderId="47" xfId="0" applyNumberFormat="1" applyFont="1" applyBorder="1"/>
    <xf numFmtId="167" fontId="5" fillId="0" borderId="2" xfId="0" applyNumberFormat="1" applyFont="1" applyBorder="1"/>
    <xf numFmtId="166" fontId="5" fillId="0" borderId="2" xfId="0" applyNumberFormat="1" applyFont="1" applyBorder="1"/>
    <xf numFmtId="167" fontId="5" fillId="0" borderId="31" xfId="0" applyNumberFormat="1" applyFont="1" applyBorder="1"/>
    <xf numFmtId="166" fontId="5" fillId="0" borderId="31" xfId="0" applyNumberFormat="1" applyFont="1" applyBorder="1"/>
    <xf numFmtId="0" fontId="5" fillId="0" borderId="23" xfId="0" applyFont="1" applyBorder="1"/>
    <xf numFmtId="166" fontId="5" fillId="4" borderId="53" xfId="0" applyNumberFormat="1" applyFont="1" applyFill="1" applyBorder="1"/>
    <xf numFmtId="167" fontId="13" fillId="0" borderId="48" xfId="0" applyNumberFormat="1" applyFont="1" applyBorder="1"/>
    <xf numFmtId="0" fontId="5" fillId="0" borderId="22" xfId="0" applyFont="1" applyBorder="1"/>
    <xf numFmtId="166" fontId="5" fillId="0" borderId="17" xfId="0" applyNumberFormat="1" applyFont="1" applyBorder="1"/>
    <xf numFmtId="167" fontId="5" fillId="0" borderId="28" xfId="2" applyNumberFormat="1" applyFont="1" applyFill="1" applyBorder="1" applyAlignment="1">
      <alignment wrapText="1"/>
    </xf>
    <xf numFmtId="168" fontId="5" fillId="0" borderId="58" xfId="0" applyNumberFormat="1" applyFont="1" applyBorder="1" applyAlignment="1">
      <alignment wrapText="1"/>
    </xf>
    <xf numFmtId="167" fontId="5" fillId="0" borderId="28" xfId="0" applyNumberFormat="1" applyFont="1" applyBorder="1" applyAlignment="1">
      <alignment wrapText="1"/>
    </xf>
    <xf numFmtId="0" fontId="5" fillId="0" borderId="19" xfId="0" applyFont="1" applyBorder="1"/>
    <xf numFmtId="166" fontId="5" fillId="0" borderId="40" xfId="0" applyNumberFormat="1" applyFont="1" applyBorder="1"/>
    <xf numFmtId="168" fontId="5" fillId="6" borderId="1" xfId="2" applyNumberFormat="1" applyFont="1" applyFill="1" applyBorder="1"/>
    <xf numFmtId="168" fontId="5" fillId="0" borderId="66" xfId="2" applyNumberFormat="1" applyFont="1" applyFill="1" applyBorder="1"/>
    <xf numFmtId="168" fontId="5" fillId="6" borderId="0" xfId="0" applyNumberFormat="1" applyFont="1" applyFill="1"/>
    <xf numFmtId="0" fontId="5" fillId="6" borderId="0" xfId="0" applyFont="1" applyFill="1"/>
    <xf numFmtId="0" fontId="0" fillId="0" borderId="7" xfId="0" applyBorder="1"/>
    <xf numFmtId="167" fontId="5" fillId="0" borderId="20" xfId="2" applyNumberFormat="1" applyFont="1" applyBorder="1"/>
    <xf numFmtId="0" fontId="5" fillId="0" borderId="4" xfId="0" applyFont="1" applyBorder="1"/>
    <xf numFmtId="172" fontId="13" fillId="0" borderId="4" xfId="0" applyNumberFormat="1" applyFont="1" applyBorder="1"/>
    <xf numFmtId="170" fontId="5" fillId="0" borderId="4" xfId="0" applyNumberFormat="1" applyFont="1" applyBorder="1"/>
    <xf numFmtId="170" fontId="5" fillId="0" borderId="0" xfId="0" applyNumberFormat="1" applyFont="1"/>
    <xf numFmtId="170" fontId="5" fillId="0" borderId="7" xfId="0" applyNumberFormat="1" applyFont="1" applyBorder="1"/>
    <xf numFmtId="166" fontId="5" fillId="0" borderId="7" xfId="3" applyNumberFormat="1" applyFont="1" applyBorder="1"/>
    <xf numFmtId="168" fontId="5" fillId="0" borderId="7" xfId="2" applyNumberFormat="1" applyFont="1" applyBorder="1"/>
    <xf numFmtId="188" fontId="0" fillId="0" borderId="0" xfId="0" applyNumberFormat="1"/>
    <xf numFmtId="0" fontId="5" fillId="8" borderId="0" xfId="0" applyFont="1" applyFill="1"/>
    <xf numFmtId="0" fontId="2" fillId="8" borderId="0" xfId="0" applyFont="1" applyFill="1"/>
    <xf numFmtId="167" fontId="0" fillId="8" borderId="0" xfId="0" applyNumberFormat="1" applyFill="1"/>
    <xf numFmtId="166" fontId="0" fillId="8" borderId="0" xfId="1" applyNumberFormat="1" applyFont="1" applyFill="1" applyBorder="1"/>
    <xf numFmtId="168" fontId="0" fillId="8" borderId="0" xfId="0" applyNumberFormat="1" applyFill="1"/>
    <xf numFmtId="0" fontId="0" fillId="8" borderId="0" xfId="0" applyFill="1"/>
    <xf numFmtId="0" fontId="2" fillId="8" borderId="0" xfId="0" applyFont="1" applyFill="1" applyAlignment="1">
      <alignment horizontal="center"/>
    </xf>
    <xf numFmtId="166" fontId="2" fillId="8" borderId="0" xfId="1" applyNumberFormat="1" applyFont="1" applyFill="1" applyBorder="1" applyAlignment="1">
      <alignment horizontal="center"/>
    </xf>
    <xf numFmtId="168" fontId="2" fillId="8" borderId="0" xfId="2" applyNumberFormat="1" applyFont="1" applyFill="1" applyBorder="1" applyAlignment="1">
      <alignment horizontal="center"/>
    </xf>
    <xf numFmtId="167" fontId="0" fillId="8" borderId="8" xfId="0" applyNumberFormat="1" applyFill="1" applyBorder="1"/>
    <xf numFmtId="166" fontId="0" fillId="8" borderId="8" xfId="1" applyNumberFormat="1" applyFont="1" applyFill="1" applyBorder="1" applyProtection="1"/>
    <xf numFmtId="168" fontId="0" fillId="8" borderId="1" xfId="0" applyNumberFormat="1" applyFill="1" applyBorder="1"/>
    <xf numFmtId="0" fontId="4" fillId="8" borderId="0" xfId="0" applyFont="1" applyFill="1"/>
    <xf numFmtId="166" fontId="2" fillId="8" borderId="0" xfId="1" applyNumberFormat="1" applyFont="1" applyFill="1" applyBorder="1" applyAlignment="1" applyProtection="1">
      <alignment horizontal="center"/>
    </xf>
    <xf numFmtId="168" fontId="2" fillId="8" borderId="0" xfId="2" applyNumberFormat="1" applyFont="1" applyFill="1" applyBorder="1" applyAlignment="1" applyProtection="1">
      <alignment horizontal="center"/>
    </xf>
    <xf numFmtId="166" fontId="5" fillId="8" borderId="0" xfId="1" applyNumberFormat="1" applyFont="1" applyFill="1"/>
    <xf numFmtId="168" fontId="5" fillId="8" borderId="0" xfId="2" applyNumberFormat="1" applyFont="1" applyFill="1"/>
    <xf numFmtId="167" fontId="5" fillId="8" borderId="0" xfId="2" applyNumberFormat="1" applyFont="1" applyFill="1"/>
    <xf numFmtId="0" fontId="5" fillId="0" borderId="7" xfId="0" applyFont="1" applyBorder="1"/>
    <xf numFmtId="167" fontId="5" fillId="0" borderId="0" xfId="2" applyNumberFormat="1" applyFont="1" applyFill="1"/>
    <xf numFmtId="0" fontId="20" fillId="8" borderId="0" xfId="0" applyFont="1" applyFill="1"/>
    <xf numFmtId="0" fontId="20" fillId="8" borderId="2" xfId="0" applyFont="1" applyFill="1" applyBorder="1"/>
    <xf numFmtId="0" fontId="20" fillId="8" borderId="2" xfId="0" applyFont="1" applyFill="1" applyBorder="1" applyAlignment="1">
      <alignment horizontal="right" wrapText="1"/>
    </xf>
    <xf numFmtId="44" fontId="5" fillId="8" borderId="2" xfId="2" applyFont="1" applyFill="1" applyBorder="1"/>
    <xf numFmtId="0" fontId="5" fillId="8" borderId="2" xfId="0" applyFont="1" applyFill="1" applyBorder="1" applyAlignment="1">
      <alignment wrapText="1"/>
    </xf>
    <xf numFmtId="166" fontId="5" fillId="8" borderId="2" xfId="1" applyNumberFormat="1" applyFont="1" applyFill="1" applyBorder="1"/>
    <xf numFmtId="0" fontId="15" fillId="8" borderId="2" xfId="0" applyFont="1" applyFill="1" applyBorder="1" applyAlignment="1">
      <alignment horizontal="right" wrapText="1"/>
    </xf>
    <xf numFmtId="167" fontId="2" fillId="0" borderId="0" xfId="2" applyNumberFormat="1" applyFont="1"/>
    <xf numFmtId="167" fontId="5" fillId="2" borderId="0" xfId="2" applyNumberFormat="1" applyFont="1" applyFill="1" applyProtection="1"/>
    <xf numFmtId="167" fontId="21" fillId="2" borderId="0" xfId="2" applyNumberFormat="1" applyFont="1" applyFill="1" applyProtection="1"/>
    <xf numFmtId="167" fontId="0" fillId="8" borderId="0" xfId="2" applyNumberFormat="1" applyFont="1" applyFill="1"/>
    <xf numFmtId="168" fontId="0" fillId="8" borderId="0" xfId="0" applyNumberFormat="1" applyFill="1" applyAlignment="1">
      <alignment horizontal="right"/>
    </xf>
    <xf numFmtId="189" fontId="0" fillId="0" borderId="0" xfId="0" applyNumberFormat="1"/>
    <xf numFmtId="0" fontId="35" fillId="8" borderId="72" xfId="0" applyFont="1" applyFill="1" applyBorder="1" applyAlignment="1">
      <alignment horizontal="left" vertical="top" indent="1"/>
    </xf>
    <xf numFmtId="190" fontId="0" fillId="0" borderId="0" xfId="3" applyNumberFormat="1" applyFont="1"/>
    <xf numFmtId="166" fontId="0" fillId="0" borderId="2" xfId="1" applyNumberFormat="1" applyFont="1" applyBorder="1"/>
    <xf numFmtId="0" fontId="0" fillId="0" borderId="14" xfId="0" applyBorder="1"/>
    <xf numFmtId="168" fontId="0" fillId="0" borderId="14" xfId="0" applyNumberFormat="1" applyBorder="1"/>
    <xf numFmtId="166" fontId="0" fillId="0" borderId="14" xfId="1" applyNumberFormat="1" applyFont="1" applyBorder="1"/>
    <xf numFmtId="190" fontId="0" fillId="0" borderId="14" xfId="3" applyNumberFormat="1" applyFont="1" applyBorder="1"/>
    <xf numFmtId="166" fontId="0" fillId="0" borderId="2" xfId="1" applyNumberFormat="1" applyFont="1" applyBorder="1" applyAlignment="1">
      <alignment wrapText="1"/>
    </xf>
    <xf numFmtId="178" fontId="0" fillId="0" borderId="2" xfId="2" applyNumberFormat="1" applyFont="1" applyBorder="1"/>
    <xf numFmtId="168" fontId="0" fillId="0" borderId="2" xfId="2" applyNumberFormat="1" applyFont="1" applyBorder="1"/>
    <xf numFmtId="166" fontId="0" fillId="0" borderId="4" xfId="1" applyNumberFormat="1" applyFont="1" applyBorder="1"/>
    <xf numFmtId="166" fontId="0" fillId="0" borderId="4" xfId="0" applyNumberFormat="1" applyBorder="1"/>
    <xf numFmtId="0" fontId="2" fillId="0" borderId="15" xfId="0" applyFont="1" applyBorder="1" applyAlignment="1">
      <alignment horizontal="right"/>
    </xf>
    <xf numFmtId="9" fontId="2" fillId="0" borderId="0" xfId="3" applyFont="1" applyAlignment="1">
      <alignment horizontal="right"/>
    </xf>
    <xf numFmtId="191" fontId="5" fillId="8" borderId="2" xfId="0" applyNumberFormat="1" applyFont="1" applyFill="1" applyBorder="1"/>
    <xf numFmtId="167" fontId="13" fillId="0" borderId="0" xfId="0" applyNumberFormat="1" applyFont="1"/>
    <xf numFmtId="167" fontId="13" fillId="0" borderId="0" xfId="2" applyNumberFormat="1" applyFont="1"/>
    <xf numFmtId="166" fontId="13" fillId="0" borderId="49" xfId="0" applyNumberFormat="1" applyFont="1" applyBorder="1"/>
    <xf numFmtId="166" fontId="13" fillId="0" borderId="52" xfId="0" applyNumberFormat="1" applyFont="1" applyBorder="1"/>
    <xf numFmtId="166" fontId="13" fillId="0" borderId="50" xfId="1" applyNumberFormat="1" applyFont="1" applyBorder="1"/>
    <xf numFmtId="166" fontId="13" fillId="0" borderId="51" xfId="0" applyNumberFormat="1" applyFont="1" applyBorder="1"/>
    <xf numFmtId="166" fontId="13" fillId="4" borderId="53" xfId="0" applyNumberFormat="1" applyFont="1" applyFill="1" applyBorder="1"/>
    <xf numFmtId="166" fontId="13" fillId="4" borderId="39" xfId="0" applyNumberFormat="1" applyFont="1" applyFill="1" applyBorder="1" applyAlignment="1">
      <alignment wrapText="1"/>
    </xf>
    <xf numFmtId="168" fontId="13" fillId="7" borderId="1" xfId="2" applyNumberFormat="1" applyFont="1" applyFill="1" applyBorder="1"/>
    <xf numFmtId="168" fontId="13" fillId="7" borderId="66" xfId="0" applyNumberFormat="1" applyFont="1" applyFill="1" applyBorder="1"/>
    <xf numFmtId="166" fontId="13" fillId="0" borderId="27" xfId="0" applyNumberFormat="1" applyFont="1" applyBorder="1"/>
    <xf numFmtId="168" fontId="5" fillId="0" borderId="79" xfId="0" applyNumberFormat="1" applyFont="1" applyBorder="1" applyAlignment="1">
      <alignment wrapText="1"/>
    </xf>
    <xf numFmtId="166" fontId="0" fillId="0" borderId="77" xfId="1" applyNumberFormat="1" applyFont="1" applyBorder="1" applyAlignment="1">
      <alignment wrapText="1"/>
    </xf>
    <xf numFmtId="167" fontId="5" fillId="0" borderId="78" xfId="2" applyNumberFormat="1" applyFont="1" applyBorder="1" applyAlignment="1">
      <alignment wrapText="1"/>
    </xf>
    <xf numFmtId="167" fontId="21" fillId="0" borderId="0" xfId="2" applyNumberFormat="1" applyFont="1" applyProtection="1"/>
    <xf numFmtId="167" fontId="21" fillId="2" borderId="0" xfId="2" applyNumberFormat="1" applyFont="1" applyFill="1" applyBorder="1" applyProtection="1"/>
    <xf numFmtId="167" fontId="21" fillId="2" borderId="0" xfId="0" applyNumberFormat="1" applyFont="1" applyFill="1"/>
    <xf numFmtId="167" fontId="13" fillId="8" borderId="0" xfId="2" applyNumberFormat="1" applyFont="1" applyFill="1"/>
    <xf numFmtId="167" fontId="13" fillId="8" borderId="0" xfId="0" applyNumberFormat="1" applyFont="1" applyFill="1"/>
    <xf numFmtId="10" fontId="5" fillId="2" borderId="0" xfId="3" applyNumberFormat="1" applyFont="1" applyFill="1"/>
    <xf numFmtId="0" fontId="18" fillId="8" borderId="2" xfId="0" applyFont="1" applyFill="1" applyBorder="1"/>
    <xf numFmtId="0" fontId="18" fillId="8" borderId="16" xfId="0" applyFont="1" applyFill="1" applyBorder="1" applyAlignment="1">
      <alignment wrapText="1"/>
    </xf>
    <xf numFmtId="166" fontId="0" fillId="8" borderId="59" xfId="1" applyNumberFormat="1" applyFont="1" applyFill="1" applyBorder="1" applyAlignment="1">
      <alignment wrapText="1"/>
    </xf>
    <xf numFmtId="167" fontId="13" fillId="8" borderId="32" xfId="2" applyNumberFormat="1" applyFont="1" applyFill="1" applyBorder="1" applyAlignment="1">
      <alignment wrapText="1"/>
    </xf>
    <xf numFmtId="168" fontId="5" fillId="8" borderId="60" xfId="0" applyNumberFormat="1" applyFont="1" applyFill="1" applyBorder="1" applyAlignment="1">
      <alignment wrapText="1"/>
    </xf>
    <xf numFmtId="0" fontId="0" fillId="8" borderId="8" xfId="0" applyFill="1" applyBorder="1" applyAlignment="1">
      <alignment horizontal="left"/>
    </xf>
    <xf numFmtId="0" fontId="0" fillId="8" borderId="17" xfId="0" applyFill="1" applyBorder="1" applyAlignment="1">
      <alignment horizontal="left"/>
    </xf>
    <xf numFmtId="0" fontId="31" fillId="0" borderId="46" xfId="0" applyFont="1" applyBorder="1" applyAlignment="1">
      <alignment horizontal="center" vertical="top"/>
    </xf>
    <xf numFmtId="0" fontId="31" fillId="0" borderId="80" xfId="0" applyFont="1" applyBorder="1" applyAlignment="1">
      <alignment horizontal="center" vertical="top"/>
    </xf>
    <xf numFmtId="0" fontId="20" fillId="8" borderId="16" xfId="0" applyFont="1" applyFill="1" applyBorder="1" applyAlignment="1">
      <alignment wrapText="1"/>
    </xf>
    <xf numFmtId="0" fontId="20" fillId="8" borderId="17" xfId="0" applyFont="1" applyFill="1" applyBorder="1" applyAlignment="1">
      <alignment wrapText="1"/>
    </xf>
    <xf numFmtId="0" fontId="5" fillId="8" borderId="16" xfId="0" applyFont="1" applyFill="1" applyBorder="1"/>
    <xf numFmtId="0" fontId="5" fillId="8" borderId="17" xfId="0" applyFont="1" applyFill="1" applyBorder="1"/>
    <xf numFmtId="0" fontId="3" fillId="9" borderId="46" xfId="0" applyFont="1" applyFill="1" applyBorder="1" applyAlignment="1">
      <alignment horizontal="center"/>
    </xf>
    <xf numFmtId="0" fontId="3" fillId="9" borderId="38" xfId="0" applyFont="1" applyFill="1" applyBorder="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5"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center"/>
    </xf>
    <xf numFmtId="0" fontId="0" fillId="0" borderId="0" xfId="0" applyAlignment="1">
      <alignment horizontal="center"/>
    </xf>
    <xf numFmtId="0" fontId="5" fillId="7" borderId="67" xfId="0" applyFont="1" applyFill="1" applyBorder="1" applyAlignment="1">
      <alignment horizontal="left" wrapText="1"/>
    </xf>
    <xf numFmtId="0" fontId="5" fillId="7" borderId="68" xfId="0" applyFont="1" applyFill="1" applyBorder="1" applyAlignment="1">
      <alignment horizontal="left" wrapText="1"/>
    </xf>
    <xf numFmtId="0" fontId="5" fillId="7" borderId="69" xfId="0" applyFont="1" applyFill="1" applyBorder="1" applyAlignment="1">
      <alignment horizontal="left" wrapText="1"/>
    </xf>
    <xf numFmtId="0" fontId="0" fillId="6" borderId="0" xfId="0" applyFill="1" applyAlignment="1">
      <alignment horizontal="left" wrapText="1"/>
    </xf>
    <xf numFmtId="0" fontId="0" fillId="0" borderId="64" xfId="0" applyBorder="1" applyAlignment="1">
      <alignment horizontal="left" wrapText="1"/>
    </xf>
    <xf numFmtId="0" fontId="0" fillId="0" borderId="65" xfId="0" applyBorder="1" applyAlignment="1">
      <alignment horizontal="left" wrapText="1"/>
    </xf>
    <xf numFmtId="0" fontId="0" fillId="0" borderId="67" xfId="0" applyBorder="1" applyAlignment="1">
      <alignment horizontal="left" wrapText="1"/>
    </xf>
    <xf numFmtId="0" fontId="0" fillId="0" borderId="68" xfId="0" applyBorder="1" applyAlignment="1">
      <alignment horizontal="left" wrapText="1"/>
    </xf>
    <xf numFmtId="0" fontId="0" fillId="0" borderId="69" xfId="0" applyBorder="1" applyAlignment="1">
      <alignment horizontal="left" wrapText="1"/>
    </xf>
    <xf numFmtId="0" fontId="5" fillId="6" borderId="0" xfId="0" applyFont="1" applyFill="1" applyAlignment="1">
      <alignment horizontal="left" wrapText="1"/>
    </xf>
    <xf numFmtId="0" fontId="2" fillId="0" borderId="0" xfId="0" applyFont="1" applyAlignment="1">
      <alignment horizontal="left" wrapText="1"/>
    </xf>
    <xf numFmtId="0" fontId="5" fillId="0" borderId="67" xfId="0" applyFont="1" applyBorder="1" applyAlignment="1">
      <alignment horizontal="left" wrapText="1"/>
    </xf>
    <xf numFmtId="0" fontId="5" fillId="0" borderId="68" xfId="0" applyFont="1" applyBorder="1" applyAlignment="1">
      <alignment horizontal="left" wrapText="1"/>
    </xf>
    <xf numFmtId="0" fontId="5" fillId="0" borderId="69" xfId="0" applyFont="1" applyBorder="1" applyAlignment="1">
      <alignment horizontal="left" wrapText="1"/>
    </xf>
    <xf numFmtId="0" fontId="20" fillId="8" borderId="16" xfId="0" applyFont="1" applyFill="1" applyBorder="1" applyAlignment="1">
      <alignment horizontal="center"/>
    </xf>
    <xf numFmtId="0" fontId="20" fillId="8" borderId="8" xfId="0" applyFont="1" applyFill="1" applyBorder="1" applyAlignment="1">
      <alignment horizontal="center"/>
    </xf>
    <xf numFmtId="0" fontId="20" fillId="8" borderId="17" xfId="0" applyFont="1" applyFill="1" applyBorder="1" applyAlignment="1">
      <alignment horizontal="center"/>
    </xf>
    <xf numFmtId="0" fontId="20" fillId="8" borderId="7" xfId="0" applyFont="1" applyFill="1" applyBorder="1" applyAlignment="1">
      <alignment horizontal="center"/>
    </xf>
    <xf numFmtId="0" fontId="11" fillId="3" borderId="46" xfId="0" applyFont="1" applyFill="1" applyBorder="1" applyAlignment="1">
      <alignment horizontal="center"/>
    </xf>
    <xf numFmtId="0" fontId="11" fillId="3" borderId="13" xfId="0" applyFont="1" applyFill="1" applyBorder="1" applyAlignment="1">
      <alignment horizontal="center"/>
    </xf>
    <xf numFmtId="0" fontId="11" fillId="3" borderId="38" xfId="0" applyFont="1" applyFill="1" applyBorder="1" applyAlignment="1">
      <alignment horizontal="center"/>
    </xf>
    <xf numFmtId="0" fontId="0" fillId="0" borderId="3" xfId="0" applyBorder="1" applyAlignment="1">
      <alignment horizontal="center"/>
    </xf>
    <xf numFmtId="0" fontId="0" fillId="0" borderId="30" xfId="0" applyBorder="1" applyAlignment="1">
      <alignment horizontal="center"/>
    </xf>
    <xf numFmtId="0" fontId="0" fillId="0" borderId="5" xfId="0" applyBorder="1" applyAlignment="1">
      <alignment horizontal="center"/>
    </xf>
    <xf numFmtId="0" fontId="0" fillId="0" borderId="18"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44" fontId="0" fillId="0" borderId="8" xfId="0" applyNumberFormat="1" applyBorder="1" applyAlignment="1">
      <alignment horizontal="left"/>
    </xf>
    <xf numFmtId="44" fontId="0" fillId="0" borderId="17" xfId="0" applyNumberFormat="1" applyBorder="1" applyAlignment="1">
      <alignment horizontal="left"/>
    </xf>
    <xf numFmtId="0" fontId="0" fillId="0" borderId="16" xfId="0" applyBorder="1" applyAlignment="1">
      <alignment horizontal="left"/>
    </xf>
    <xf numFmtId="0" fontId="0" fillId="0" borderId="8" xfId="0" applyBorder="1" applyAlignment="1">
      <alignment horizontal="left"/>
    </xf>
    <xf numFmtId="0" fontId="0" fillId="0" borderId="17" xfId="0" applyBorder="1" applyAlignment="1">
      <alignment horizontal="left"/>
    </xf>
    <xf numFmtId="44" fontId="0" fillId="0" borderId="3" xfId="0" applyNumberFormat="1" applyBorder="1" applyAlignment="1">
      <alignment horizontal="center" wrapText="1"/>
    </xf>
    <xf numFmtId="44" fontId="0" fillId="0" borderId="4" xfId="0" applyNumberFormat="1" applyBorder="1" applyAlignment="1">
      <alignment horizontal="center" wrapText="1"/>
    </xf>
    <xf numFmtId="44" fontId="0" fillId="0" borderId="30" xfId="0" applyNumberFormat="1" applyBorder="1" applyAlignment="1">
      <alignment horizontal="center" wrapText="1"/>
    </xf>
    <xf numFmtId="0" fontId="2" fillId="0" borderId="76" xfId="0" applyFont="1" applyBorder="1" applyAlignment="1">
      <alignment horizontal="center" wrapText="1"/>
    </xf>
    <xf numFmtId="0" fontId="0" fillId="0" borderId="25" xfId="0" applyBorder="1" applyAlignment="1">
      <alignment horizontal="center" wrapText="1"/>
    </xf>
    <xf numFmtId="0" fontId="0" fillId="0" borderId="5" xfId="0" applyBorder="1" applyAlignment="1">
      <alignment horizontal="center" wrapText="1"/>
    </xf>
    <xf numFmtId="0" fontId="0" fillId="0" borderId="0" xfId="0" applyAlignment="1">
      <alignment horizontal="center" wrapText="1"/>
    </xf>
    <xf numFmtId="168" fontId="0" fillId="0" borderId="5" xfId="0" applyNumberFormat="1" applyBorder="1" applyAlignment="1">
      <alignment horizontal="center" wrapText="1"/>
    </xf>
    <xf numFmtId="168" fontId="0" fillId="0" borderId="0" xfId="0" applyNumberFormat="1" applyAlignment="1">
      <alignment horizontal="center" wrapText="1"/>
    </xf>
    <xf numFmtId="168" fontId="0" fillId="0" borderId="18" xfId="0" applyNumberFormat="1" applyBorder="1" applyAlignment="1">
      <alignment horizontal="center" wrapText="1"/>
    </xf>
    <xf numFmtId="0" fontId="11" fillId="5" borderId="35" xfId="0" applyFont="1" applyFill="1" applyBorder="1" applyAlignment="1">
      <alignment horizontal="center"/>
    </xf>
    <xf numFmtId="0" fontId="11" fillId="5" borderId="13" xfId="0" applyFont="1" applyFill="1" applyBorder="1" applyAlignment="1">
      <alignment horizontal="center"/>
    </xf>
    <xf numFmtId="0" fontId="11" fillId="5" borderId="38" xfId="0" applyFont="1" applyFill="1" applyBorder="1" applyAlignment="1">
      <alignment horizontal="center"/>
    </xf>
    <xf numFmtId="0" fontId="0" fillId="0" borderId="16" xfId="0" applyBorder="1" applyAlignment="1">
      <alignment horizontal="center"/>
    </xf>
    <xf numFmtId="0" fontId="0" fillId="0" borderId="8" xfId="0" applyBorder="1" applyAlignment="1">
      <alignment horizontal="center"/>
    </xf>
    <xf numFmtId="0" fontId="0" fillId="0" borderId="17" xfId="0" applyBorder="1" applyAlignment="1">
      <alignment horizontal="center"/>
    </xf>
    <xf numFmtId="44" fontId="0" fillId="0" borderId="7" xfId="0" applyNumberFormat="1" applyBorder="1" applyAlignment="1">
      <alignment horizontal="left"/>
    </xf>
    <xf numFmtId="44" fontId="0" fillId="0" borderId="19" xfId="0" applyNumberFormat="1" applyBorder="1" applyAlignment="1">
      <alignment horizontal="left"/>
    </xf>
    <xf numFmtId="0" fontId="19" fillId="0" borderId="0" xfId="0" applyFont="1" applyAlignment="1">
      <alignment horizontal="center"/>
    </xf>
    <xf numFmtId="0" fontId="11" fillId="3" borderId="35" xfId="0" applyFont="1" applyFill="1" applyBorder="1" applyAlignment="1">
      <alignment horizontal="center"/>
    </xf>
    <xf numFmtId="0" fontId="11" fillId="3" borderId="3" xfId="0" applyFont="1" applyFill="1" applyBorder="1" applyAlignment="1">
      <alignment horizontal="center"/>
    </xf>
    <xf numFmtId="0" fontId="11" fillId="3" borderId="30" xfId="0" applyFont="1" applyFill="1" applyBorder="1" applyAlignment="1">
      <alignment horizontal="center"/>
    </xf>
    <xf numFmtId="0" fontId="2" fillId="0" borderId="35" xfId="0" applyFont="1" applyBorder="1" applyAlignment="1">
      <alignment horizontal="center" wrapText="1"/>
    </xf>
    <xf numFmtId="0" fontId="2" fillId="0" borderId="37" xfId="0" applyFont="1" applyBorder="1" applyAlignment="1">
      <alignment horizontal="center" wrapText="1"/>
    </xf>
    <xf numFmtId="0" fontId="2" fillId="0" borderId="13" xfId="0" applyFont="1" applyBorder="1" applyAlignment="1">
      <alignment horizontal="center" wrapText="1"/>
    </xf>
    <xf numFmtId="0" fontId="11" fillId="3" borderId="16" xfId="0" applyFont="1" applyFill="1" applyBorder="1" applyAlignment="1">
      <alignment horizontal="center"/>
    </xf>
    <xf numFmtId="0" fontId="11" fillId="3" borderId="17" xfId="0" applyFont="1" applyFill="1" applyBorder="1" applyAlignment="1">
      <alignment horizontal="center"/>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2" fillId="3" borderId="23"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0" borderId="46" xfId="0" applyFont="1" applyBorder="1" applyAlignment="1">
      <alignment horizontal="center"/>
    </xf>
    <xf numFmtId="0" fontId="2" fillId="0" borderId="13" xfId="0" applyFont="1" applyBorder="1" applyAlignment="1">
      <alignment horizontal="center"/>
    </xf>
    <xf numFmtId="0" fontId="2" fillId="0" borderId="37" xfId="0" applyFont="1" applyBorder="1" applyAlignment="1">
      <alignment horizontal="center"/>
    </xf>
    <xf numFmtId="0" fontId="2" fillId="0" borderId="0" xfId="0" applyFont="1" applyAlignment="1">
      <alignment horizontal="center" wrapText="1"/>
    </xf>
    <xf numFmtId="0" fontId="2" fillId="0" borderId="12" xfId="0" applyFont="1" applyBorder="1" applyAlignment="1">
      <alignment horizontal="center"/>
    </xf>
    <xf numFmtId="0" fontId="2" fillId="0" borderId="0" xfId="0" applyFont="1" applyAlignment="1">
      <alignment horizontal="right"/>
    </xf>
    <xf numFmtId="49" fontId="5" fillId="0" borderId="0" xfId="2" applyNumberFormat="1" applyFont="1" applyAlignment="1">
      <alignment horizontal="left" vertical="center" wrapText="1"/>
    </xf>
    <xf numFmtId="49" fontId="0" fillId="0" borderId="0" xfId="2" applyNumberFormat="1" applyFont="1" applyAlignment="1">
      <alignment horizontal="left" vertical="center" wrapText="1"/>
    </xf>
  </cellXfs>
  <cellStyles count="5">
    <cellStyle name="Comma" xfId="1" builtinId="3"/>
    <cellStyle name="Currency" xfId="2" builtinId="4"/>
    <cellStyle name="Normal" xfId="0" builtinId="0"/>
    <cellStyle name="Normal 3 3" xfId="4" xr:uid="{1D7E172F-65D5-49DF-8408-0DE20742EDE5}"/>
    <cellStyle name="Percent" xfId="3" builtinId="5"/>
  </cellStyles>
  <dxfs count="0"/>
  <tableStyles count="0" defaultTableStyle="TableStyleMedium2" defaultPivotStyle="PivotStyleLight16"/>
  <colors>
    <mruColors>
      <color rgb="FFFF33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4ED0-9883-4F9D-B677-11B60A9B6E9E}">
  <dimension ref="B1:H15"/>
  <sheetViews>
    <sheetView tabSelected="1" zoomScale="90" zoomScaleNormal="90" workbookViewId="0">
      <selection activeCell="D9" sqref="D9"/>
    </sheetView>
  </sheetViews>
  <sheetFormatPr defaultRowHeight="15" x14ac:dyDescent="0.25"/>
  <cols>
    <col min="1" max="1" width="2.42578125" customWidth="1"/>
    <col min="2" max="2" width="7.28515625" customWidth="1"/>
    <col min="3" max="3" width="145.28515625" customWidth="1"/>
    <col min="8" max="8" width="13.28515625" bestFit="1" customWidth="1"/>
  </cols>
  <sheetData>
    <row r="1" spans="2:8" ht="15.75" thickBot="1" x14ac:dyDescent="0.3"/>
    <row r="2" spans="2:8" ht="19.5" thickBot="1" x14ac:dyDescent="0.35">
      <c r="B2" s="487" t="s">
        <v>450</v>
      </c>
      <c r="C2" s="488"/>
    </row>
    <row r="3" spans="2:8" ht="15.75" x14ac:dyDescent="0.25">
      <c r="B3" s="335">
        <v>1</v>
      </c>
      <c r="C3" s="340" t="s">
        <v>301</v>
      </c>
    </row>
    <row r="4" spans="2:8" ht="15.75" x14ac:dyDescent="0.25">
      <c r="B4" s="335"/>
      <c r="C4" s="341" t="s">
        <v>298</v>
      </c>
    </row>
    <row r="5" spans="2:8" ht="15.75" x14ac:dyDescent="0.25">
      <c r="B5" s="335"/>
      <c r="C5" s="342" t="s">
        <v>299</v>
      </c>
    </row>
    <row r="6" spans="2:8" ht="15.75" x14ac:dyDescent="0.25">
      <c r="B6" s="335"/>
      <c r="C6" s="439" t="s">
        <v>325</v>
      </c>
    </row>
    <row r="7" spans="2:8" ht="16.5" thickBot="1" x14ac:dyDescent="0.3">
      <c r="B7" s="336"/>
      <c r="C7" s="343" t="s">
        <v>300</v>
      </c>
    </row>
    <row r="8" spans="2:8" ht="32.25" thickBot="1" x14ac:dyDescent="0.3">
      <c r="B8" s="337">
        <v>2</v>
      </c>
      <c r="C8" s="338" t="s">
        <v>452</v>
      </c>
    </row>
    <row r="9" spans="2:8" ht="32.25" thickBot="1" x14ac:dyDescent="0.3">
      <c r="B9" s="336">
        <v>3</v>
      </c>
      <c r="C9" s="339" t="s">
        <v>402</v>
      </c>
    </row>
    <row r="10" spans="2:8" ht="16.5" thickBot="1" x14ac:dyDescent="0.3">
      <c r="B10" s="336">
        <v>4</v>
      </c>
      <c r="C10" s="339" t="s">
        <v>403</v>
      </c>
    </row>
    <row r="11" spans="2:8" ht="32.25" thickBot="1" x14ac:dyDescent="0.3">
      <c r="B11" s="335">
        <v>5</v>
      </c>
      <c r="C11" s="340" t="s">
        <v>404</v>
      </c>
    </row>
    <row r="12" spans="2:8" ht="16.5" thickBot="1" x14ac:dyDescent="0.3">
      <c r="B12" s="481">
        <v>6</v>
      </c>
      <c r="C12" s="338" t="s">
        <v>405</v>
      </c>
    </row>
    <row r="13" spans="2:8" ht="16.5" thickBot="1" x14ac:dyDescent="0.3">
      <c r="B13" s="482">
        <v>7</v>
      </c>
      <c r="C13" s="339" t="s">
        <v>449</v>
      </c>
    </row>
    <row r="15" spans="2:8" x14ac:dyDescent="0.25">
      <c r="H15" s="63"/>
    </row>
  </sheetData>
  <mergeCells count="1">
    <mergeCell ref="B2:C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1"/>
  <sheetViews>
    <sheetView showGridLines="0" topLeftCell="A20" workbookViewId="0">
      <selection activeCell="F37" sqref="F37"/>
    </sheetView>
  </sheetViews>
  <sheetFormatPr defaultRowHeight="15" x14ac:dyDescent="0.25"/>
  <cols>
    <col min="1" max="1" width="16.42578125" customWidth="1"/>
    <col min="2" max="2" width="15.7109375" customWidth="1"/>
    <col min="3" max="5" width="13.7109375" customWidth="1"/>
    <col min="6" max="9" width="13.28515625" customWidth="1"/>
    <col min="10" max="10" width="25.42578125" customWidth="1"/>
    <col min="11" max="11" width="37.28515625" style="64" customWidth="1"/>
    <col min="12" max="12" width="18" style="64" bestFit="1" customWidth="1"/>
    <col min="13" max="14" width="12.7109375" style="64" customWidth="1"/>
  </cols>
  <sheetData>
    <row r="1" spans="1:14" ht="28.5" x14ac:dyDescent="0.45">
      <c r="A1" s="545" t="s">
        <v>267</v>
      </c>
      <c r="B1" s="545"/>
      <c r="C1" s="545"/>
      <c r="D1" s="545"/>
      <c r="E1" s="545"/>
      <c r="F1" s="545"/>
      <c r="G1" s="545"/>
      <c r="H1" s="545"/>
      <c r="I1" s="545"/>
      <c r="J1" s="93"/>
    </row>
    <row r="2" spans="1:14" ht="26.25" x14ac:dyDescent="0.4">
      <c r="A2" s="136"/>
      <c r="B2" s="136"/>
      <c r="C2" s="136"/>
      <c r="D2" s="136"/>
      <c r="E2" s="136"/>
      <c r="F2" s="136"/>
      <c r="G2" s="136"/>
      <c r="H2" s="136"/>
      <c r="I2" s="136"/>
      <c r="J2" s="93"/>
    </row>
    <row r="3" spans="1:14" x14ac:dyDescent="0.25">
      <c r="A3" s="10" t="s">
        <v>262</v>
      </c>
    </row>
    <row r="4" spans="1:14" ht="29.65" customHeight="1" thickBot="1" x14ac:dyDescent="0.3">
      <c r="A4" s="556" t="s">
        <v>268</v>
      </c>
      <c r="B4" s="557"/>
      <c r="C4" s="558"/>
      <c r="D4" s="554" t="s">
        <v>242</v>
      </c>
      <c r="E4" s="555"/>
      <c r="F4" s="552" t="s">
        <v>243</v>
      </c>
      <c r="G4" s="553"/>
      <c r="I4" s="26"/>
    </row>
    <row r="5" spans="1:14" ht="30.75" thickBot="1" x14ac:dyDescent="0.3">
      <c r="A5" s="145" t="s">
        <v>246</v>
      </c>
      <c r="B5" s="164" t="s">
        <v>261</v>
      </c>
      <c r="C5" s="164" t="s">
        <v>260</v>
      </c>
      <c r="D5" s="158" t="s">
        <v>90</v>
      </c>
      <c r="E5" s="160" t="s">
        <v>37</v>
      </c>
      <c r="F5" s="186" t="s">
        <v>161</v>
      </c>
      <c r="G5" s="160" t="s">
        <v>37</v>
      </c>
      <c r="I5" s="26"/>
      <c r="K5" s="67"/>
      <c r="L5" s="66"/>
      <c r="M5" s="89"/>
    </row>
    <row r="6" spans="1:14" x14ac:dyDescent="0.25">
      <c r="A6" s="75" t="s">
        <v>249</v>
      </c>
      <c r="B6" s="165">
        <f>+'Data for 2nd TU'!H33</f>
        <v>214100000</v>
      </c>
      <c r="C6" s="165">
        <f>+'Data for 2nd TU'!I33</f>
        <v>214100000</v>
      </c>
      <c r="D6" s="376">
        <f>+'RPP 2nd TU'!B31</f>
        <v>0.12294211273045566</v>
      </c>
      <c r="E6" s="377">
        <f>C6*D6</f>
        <v>26321906.335590556</v>
      </c>
      <c r="F6" s="166"/>
      <c r="G6" s="166"/>
      <c r="K6" s="67"/>
      <c r="L6" s="66"/>
      <c r="M6" s="89"/>
    </row>
    <row r="7" spans="1:14" s="64" customFormat="1" x14ac:dyDescent="0.25">
      <c r="A7" s="75" t="s">
        <v>156</v>
      </c>
      <c r="B7" s="143">
        <v>0</v>
      </c>
      <c r="C7" s="143">
        <f>-'Data for 2nd TU'!H7</f>
        <v>35000000</v>
      </c>
      <c r="D7" s="378">
        <f>+'Data for 2nd TU'!G103</f>
        <v>2.7763164898064498E-2</v>
      </c>
      <c r="E7" s="379">
        <f>+C7*D7</f>
        <v>971710.77143225737</v>
      </c>
      <c r="F7" s="75"/>
      <c r="G7" s="143">
        <f>+'Data for 2nd TU'!I95</f>
        <v>1980000</v>
      </c>
      <c r="I7"/>
      <c r="J7"/>
      <c r="K7" s="67"/>
      <c r="L7" s="67"/>
      <c r="N7" s="67"/>
    </row>
    <row r="8" spans="1:14" s="64" customFormat="1" ht="15.75" thickBot="1" x14ac:dyDescent="0.3">
      <c r="A8" s="75" t="s">
        <v>157</v>
      </c>
      <c r="B8" s="144">
        <f>+'Data for 2nd TU'!H34</f>
        <v>287150000</v>
      </c>
      <c r="C8" s="144">
        <f>+'Data for 2nd TU'!H34</f>
        <v>287150000</v>
      </c>
      <c r="D8" s="380">
        <f>+'Data for 2nd TU'!G103</f>
        <v>2.7763164898064498E-2</v>
      </c>
      <c r="E8" s="381">
        <f>+D8*C8</f>
        <v>7972192.8004792202</v>
      </c>
      <c r="F8" s="173">
        <f>+'Data for 2nd TU'!G56</f>
        <v>0.10589999999999999</v>
      </c>
      <c r="G8" s="144">
        <f>B8*F8</f>
        <v>30409185</v>
      </c>
      <c r="I8"/>
      <c r="J8"/>
      <c r="N8" s="65"/>
    </row>
    <row r="9" spans="1:14" s="64" customFormat="1" ht="15.75" thickBot="1" x14ac:dyDescent="0.3">
      <c r="A9" s="75"/>
      <c r="B9" s="174">
        <f>SUM(B6:B8)</f>
        <v>501250000</v>
      </c>
      <c r="C9" s="174">
        <f>SUM(C6:C8)</f>
        <v>536250000</v>
      </c>
      <c r="D9" s="382"/>
      <c r="E9" s="383">
        <f>SUM(E6:E8)</f>
        <v>35265809.907502033</v>
      </c>
      <c r="F9" s="90"/>
      <c r="G9" s="175">
        <f>SUM(G6:G8)</f>
        <v>32389185</v>
      </c>
      <c r="I9"/>
      <c r="J9"/>
      <c r="K9" s="67"/>
      <c r="L9" s="81"/>
      <c r="M9" s="88"/>
    </row>
    <row r="10" spans="1:14" s="64" customFormat="1" ht="15.75" thickTop="1" x14ac:dyDescent="0.25">
      <c r="A10"/>
      <c r="B10" s="6"/>
      <c r="C10" s="6"/>
      <c r="D10"/>
      <c r="E10" s="6"/>
      <c r="F10"/>
      <c r="G10" s="6"/>
      <c r="I10"/>
      <c r="J10"/>
      <c r="K10" s="67"/>
      <c r="L10" s="81"/>
      <c r="M10" s="88"/>
    </row>
    <row r="11" spans="1:14" ht="15.75" thickBot="1" x14ac:dyDescent="0.3">
      <c r="A11" s="10" t="s">
        <v>263</v>
      </c>
      <c r="K11" s="67"/>
      <c r="L11" s="66"/>
      <c r="M11" s="88"/>
    </row>
    <row r="12" spans="1:14" s="64" customFormat="1" ht="16.5" thickBot="1" x14ac:dyDescent="0.3">
      <c r="A12" s="188"/>
      <c r="B12" s="189"/>
      <c r="C12" s="191"/>
      <c r="D12" s="546" t="s">
        <v>244</v>
      </c>
      <c r="E12" s="514"/>
      <c r="F12" s="514"/>
      <c r="G12" s="514"/>
      <c r="H12" s="514"/>
      <c r="I12" s="515"/>
      <c r="N12" s="65"/>
    </row>
    <row r="13" spans="1:14" s="64" customFormat="1" ht="29.65" customHeight="1" thickBot="1" x14ac:dyDescent="0.3">
      <c r="A13" s="559" t="s">
        <v>268</v>
      </c>
      <c r="B13" s="560"/>
      <c r="C13" s="561"/>
      <c r="D13" s="549" t="s">
        <v>159</v>
      </c>
      <c r="E13" s="551"/>
      <c r="F13" s="549" t="s">
        <v>160</v>
      </c>
      <c r="G13" s="550"/>
      <c r="H13" s="161" t="s">
        <v>278</v>
      </c>
      <c r="I13" s="190" t="s">
        <v>164</v>
      </c>
    </row>
    <row r="14" spans="1:14" s="64" customFormat="1" ht="48" customHeight="1" thickBot="1" x14ac:dyDescent="0.3">
      <c r="A14" s="145" t="s">
        <v>246</v>
      </c>
      <c r="B14" s="164" t="s">
        <v>258</v>
      </c>
      <c r="C14" s="164" t="s">
        <v>259</v>
      </c>
      <c r="D14" s="186" t="s">
        <v>276</v>
      </c>
      <c r="E14" s="160" t="s">
        <v>37</v>
      </c>
      <c r="F14" s="186" t="s">
        <v>277</v>
      </c>
      <c r="G14" s="160" t="s">
        <v>37</v>
      </c>
      <c r="H14" s="161" t="s">
        <v>37</v>
      </c>
      <c r="I14" s="162" t="s">
        <v>37</v>
      </c>
    </row>
    <row r="15" spans="1:14" s="64" customFormat="1" x14ac:dyDescent="0.25">
      <c r="A15" s="157" t="s">
        <v>250</v>
      </c>
      <c r="B15" s="167">
        <f>+'Data for 2nd TU'!H12</f>
        <v>213672867.83042395</v>
      </c>
      <c r="C15" s="168">
        <f>+'Data for 2nd TU'!I12</f>
        <v>213672867.83042395</v>
      </c>
      <c r="D15" s="384">
        <f>+'Data for 2nd TU'!G54</f>
        <v>3.5140133225143269E-2</v>
      </c>
      <c r="E15" s="456">
        <f>C15*D15</f>
        <v>7508493.0421595266</v>
      </c>
      <c r="F15" s="169">
        <f>+'Data for 2nd TU'!G59</f>
        <v>8.8359370314842575E-2</v>
      </c>
      <c r="G15" s="168">
        <f>B15*F15</f>
        <v>18880000.054862842</v>
      </c>
      <c r="H15" s="458">
        <f>+'RPP 2nd TU'!K31</f>
        <v>-119099.2927746354</v>
      </c>
      <c r="I15" s="459">
        <f>+E15+G15+H15</f>
        <v>26269393.804247733</v>
      </c>
      <c r="J15" s="67"/>
      <c r="K15" s="67"/>
    </row>
    <row r="16" spans="1:14" s="64" customFormat="1" x14ac:dyDescent="0.25">
      <c r="A16" s="75" t="s">
        <v>156</v>
      </c>
      <c r="B16" s="170">
        <v>0</v>
      </c>
      <c r="C16" s="134">
        <f>-'Data for 2nd TU'!H7</f>
        <v>35000000</v>
      </c>
      <c r="D16" s="171">
        <f>+'Data for 2nd TU'!G55</f>
        <v>2.7763164898064498E-2</v>
      </c>
      <c r="E16" s="134">
        <f>C16*D16</f>
        <v>971710.77143225737</v>
      </c>
      <c r="F16" s="171"/>
      <c r="G16" s="134"/>
      <c r="H16" s="385"/>
      <c r="I16" s="386">
        <f>+E16+G16+H16</f>
        <v>971710.77143225737</v>
      </c>
      <c r="J16" s="67"/>
      <c r="K16" s="83"/>
    </row>
    <row r="17" spans="1:12" s="64" customFormat="1" ht="15.75" thickBot="1" x14ac:dyDescent="0.3">
      <c r="A17" s="75" t="s">
        <v>157</v>
      </c>
      <c r="B17" s="170">
        <f>+'Data for 2nd TU'!H13</f>
        <v>286577132.16957605</v>
      </c>
      <c r="C17" s="134">
        <f>+'Data for 2nd TU'!I13-C16</f>
        <v>286577132.16957605</v>
      </c>
      <c r="D17" s="173">
        <f>+'Data for 2nd TU'!G55</f>
        <v>2.7763164898064498E-2</v>
      </c>
      <c r="E17" s="464">
        <f>'Data for 2nd TU'!I110-'Final RSVA Balances'!E16</f>
        <v>7993396.9510641145</v>
      </c>
      <c r="F17" s="173"/>
      <c r="G17" s="172"/>
      <c r="H17" s="385"/>
      <c r="I17" s="386">
        <f>+E17+G17+H17</f>
        <v>7993396.9510641145</v>
      </c>
      <c r="J17" s="67"/>
    </row>
    <row r="18" spans="1:12" s="64" customFormat="1" ht="15.75" thickBot="1" x14ac:dyDescent="0.3">
      <c r="A18" s="75"/>
      <c r="B18" s="174">
        <f>SUM(B15:B17)</f>
        <v>500250000</v>
      </c>
      <c r="C18" s="174">
        <f>SUM(C15:C17)</f>
        <v>535250000</v>
      </c>
      <c r="D18" s="90"/>
      <c r="E18" s="457">
        <f>SUM(E15:E17)</f>
        <v>16473600.764655899</v>
      </c>
      <c r="F18" s="90"/>
      <c r="G18" s="174">
        <f>SUM(G15:G17)</f>
        <v>18880000.054862842</v>
      </c>
      <c r="H18" s="457">
        <f>SUM(H15:H17)</f>
        <v>-119099.2927746354</v>
      </c>
      <c r="I18" s="460">
        <f>SUM(I15:I17)</f>
        <v>35234501.526744105</v>
      </c>
      <c r="J18" s="67"/>
      <c r="K18" s="67"/>
      <c r="L18" s="67"/>
    </row>
    <row r="19" spans="1:12" s="64" customFormat="1" ht="15.75" thickTop="1" x14ac:dyDescent="0.25">
      <c r="A19"/>
      <c r="B19"/>
      <c r="C19"/>
      <c r="D19"/>
      <c r="E19" s="236"/>
      <c r="F19" s="131"/>
      <c r="G19"/>
      <c r="H19"/>
      <c r="I19" s="132"/>
      <c r="J19" s="6" t="s">
        <v>89</v>
      </c>
      <c r="K19" s="67"/>
    </row>
    <row r="20" spans="1:12" s="64" customFormat="1" x14ac:dyDescent="0.25">
      <c r="A20" s="10" t="s">
        <v>264</v>
      </c>
      <c r="B20"/>
      <c r="C20"/>
      <c r="D20"/>
      <c r="E20"/>
      <c r="F20"/>
      <c r="G20"/>
      <c r="H20"/>
      <c r="I20"/>
      <c r="J20"/>
      <c r="K20" s="66"/>
    </row>
    <row r="21" spans="1:12" s="64" customFormat="1" ht="16.149999999999999" customHeight="1" thickBot="1" x14ac:dyDescent="0.3">
      <c r="A21" s="556" t="s">
        <v>268</v>
      </c>
      <c r="B21" s="557"/>
      <c r="C21" s="558"/>
      <c r="D21" s="547" t="s">
        <v>245</v>
      </c>
      <c r="E21" s="548"/>
      <c r="F21" s="39"/>
      <c r="G21"/>
      <c r="H21"/>
      <c r="I21"/>
      <c r="J21"/>
      <c r="K21" s="65"/>
    </row>
    <row r="22" spans="1:12" s="64" customFormat="1" ht="45" customHeight="1" thickBot="1" x14ac:dyDescent="0.3">
      <c r="A22" s="145" t="s">
        <v>246</v>
      </c>
      <c r="B22" s="164" t="s">
        <v>258</v>
      </c>
      <c r="C22" s="164" t="s">
        <v>259</v>
      </c>
      <c r="D22" s="186" t="s">
        <v>277</v>
      </c>
      <c r="E22" s="159" t="s">
        <v>37</v>
      </c>
      <c r="F22"/>
      <c r="I22" s="6"/>
      <c r="J22"/>
    </row>
    <row r="23" spans="1:12" s="64" customFormat="1" x14ac:dyDescent="0.25">
      <c r="A23" s="75" t="s">
        <v>156</v>
      </c>
      <c r="B23" s="170"/>
      <c r="C23" s="134"/>
      <c r="D23" s="171"/>
      <c r="E23" s="134">
        <f>+'Data for 2nd TU'!I95</f>
        <v>1980000</v>
      </c>
      <c r="F23" s="39"/>
      <c r="I23"/>
      <c r="J23"/>
    </row>
    <row r="24" spans="1:12" s="64" customFormat="1" ht="15.75" thickBot="1" x14ac:dyDescent="0.3">
      <c r="A24" s="75" t="s">
        <v>157</v>
      </c>
      <c r="B24" s="170">
        <f>B17</f>
        <v>286577132.16957605</v>
      </c>
      <c r="C24" s="134"/>
      <c r="D24" s="173">
        <f>+'Data for 2nd TU'!G59</f>
        <v>8.8359370314842575E-2</v>
      </c>
      <c r="E24" s="134">
        <f>+D24*B24</f>
        <v>25321774.945137154</v>
      </c>
      <c r="F24" s="39"/>
      <c r="I24"/>
      <c r="J24"/>
    </row>
    <row r="25" spans="1:12" s="64" customFormat="1" ht="15.75" thickBot="1" x14ac:dyDescent="0.3">
      <c r="A25" s="75"/>
      <c r="B25" s="144">
        <f>+B23+B24</f>
        <v>286577132.16957605</v>
      </c>
      <c r="C25" s="144">
        <f>+C23+C24</f>
        <v>0</v>
      </c>
      <c r="D25" s="91"/>
      <c r="E25" s="133">
        <f>+E23+E24</f>
        <v>27301774.945137154</v>
      </c>
      <c r="F25" s="39"/>
      <c r="H25" s="67"/>
      <c r="I25"/>
      <c r="J25"/>
      <c r="K25" s="65"/>
    </row>
    <row r="26" spans="1:12" s="64" customFormat="1" x14ac:dyDescent="0.25">
      <c r="A26"/>
      <c r="B26" s="6"/>
      <c r="C26" s="6"/>
      <c r="D26" s="9"/>
      <c r="E26" s="6"/>
      <c r="F26"/>
      <c r="H26" s="67"/>
      <c r="I26"/>
      <c r="J26"/>
      <c r="K26" s="65"/>
    </row>
    <row r="27" spans="1:12" s="64" customFormat="1" ht="15.75" thickBot="1" x14ac:dyDescent="0.3">
      <c r="A27" s="10" t="s">
        <v>265</v>
      </c>
      <c r="B27" s="9"/>
      <c r="C27" s="6"/>
      <c r="D27"/>
      <c r="E27"/>
      <c r="F27"/>
      <c r="G27"/>
      <c r="H27" s="6" t="s">
        <v>89</v>
      </c>
      <c r="I27"/>
      <c r="J27"/>
    </row>
    <row r="28" spans="1:12" s="64" customFormat="1" ht="15" customHeight="1" thickBot="1" x14ac:dyDescent="0.3">
      <c r="A28" s="36"/>
      <c r="B28" s="187"/>
      <c r="C28" s="513" t="s">
        <v>254</v>
      </c>
      <c r="D28" s="514"/>
      <c r="E28" s="514"/>
      <c r="F28" s="514"/>
      <c r="G28" s="514"/>
      <c r="H28" s="514"/>
      <c r="I28" s="515"/>
    </row>
    <row r="29" spans="1:12" s="64" customFormat="1" ht="15.75" thickBot="1" x14ac:dyDescent="0.3">
      <c r="A29" s="516"/>
      <c r="B29" s="517"/>
      <c r="C29" s="530" t="s">
        <v>434</v>
      </c>
      <c r="D29" s="531"/>
      <c r="F29" s="527"/>
      <c r="G29" s="528"/>
      <c r="H29" s="528"/>
      <c r="I29" s="529"/>
    </row>
    <row r="30" spans="1:12" s="64" customFormat="1" ht="15" customHeight="1" thickBot="1" x14ac:dyDescent="0.3">
      <c r="A30" s="518"/>
      <c r="B30" s="519"/>
      <c r="C30" s="532"/>
      <c r="D30" s="533"/>
      <c r="E30" s="461">
        <f>+I18-E9</f>
        <v>-31308.380757927895</v>
      </c>
      <c r="F30" s="524" t="s">
        <v>251</v>
      </c>
      <c r="G30" s="525"/>
      <c r="H30" s="525"/>
      <c r="I30" s="526"/>
      <c r="J30" s="67"/>
    </row>
    <row r="31" spans="1:12" s="64" customFormat="1" ht="16.5" thickTop="1" thickBot="1" x14ac:dyDescent="0.3">
      <c r="A31" s="520"/>
      <c r="B31" s="521"/>
      <c r="C31" s="92"/>
      <c r="E31" s="67"/>
      <c r="F31" s="534"/>
      <c r="G31" s="535"/>
      <c r="H31" s="535"/>
      <c r="I31" s="536"/>
    </row>
    <row r="32" spans="1:12" s="64" customFormat="1" ht="16.5" thickBot="1" x14ac:dyDescent="0.3">
      <c r="A32" s="145" t="s">
        <v>246</v>
      </c>
      <c r="B32" s="146" t="s">
        <v>257</v>
      </c>
      <c r="C32" s="147" t="s">
        <v>162</v>
      </c>
      <c r="D32" s="148" t="s">
        <v>163</v>
      </c>
      <c r="E32" s="149" t="s">
        <v>166</v>
      </c>
      <c r="F32" s="537" t="s">
        <v>165</v>
      </c>
      <c r="G32" s="538"/>
      <c r="H32" s="538"/>
      <c r="I32" s="539"/>
    </row>
    <row r="33" spans="1:10" s="64" customFormat="1" x14ac:dyDescent="0.25">
      <c r="A33" s="154" t="s">
        <v>249</v>
      </c>
      <c r="B33" s="155" t="s">
        <v>247</v>
      </c>
      <c r="C33" s="177">
        <f>+C15</f>
        <v>213672867.83042395</v>
      </c>
      <c r="D33" s="178">
        <f>((+I15)/C15)-D6</f>
        <v>0</v>
      </c>
      <c r="E33" s="179">
        <f>+C33*D33</f>
        <v>0</v>
      </c>
      <c r="F33" s="525" t="s">
        <v>252</v>
      </c>
      <c r="G33" s="525"/>
      <c r="H33" s="525"/>
      <c r="I33" s="526"/>
    </row>
    <row r="34" spans="1:10" s="64" customFormat="1" x14ac:dyDescent="0.25">
      <c r="A34" s="154" t="s">
        <v>249</v>
      </c>
      <c r="B34" s="155" t="s">
        <v>248</v>
      </c>
      <c r="C34" s="180">
        <f>+C15-C6</f>
        <v>-427132.16957604885</v>
      </c>
      <c r="D34" s="387">
        <f>D6</f>
        <v>0.12294211273045566</v>
      </c>
      <c r="E34" s="388">
        <f>+C34*D34</f>
        <v>-52512.531342822702</v>
      </c>
      <c r="F34" s="525" t="s">
        <v>279</v>
      </c>
      <c r="G34" s="525"/>
      <c r="H34" s="525"/>
      <c r="I34" s="526"/>
    </row>
    <row r="35" spans="1:10" s="64" customFormat="1" x14ac:dyDescent="0.25">
      <c r="A35" s="156" t="s">
        <v>157</v>
      </c>
      <c r="B35" s="155" t="s">
        <v>158</v>
      </c>
      <c r="C35" s="180">
        <f>+C16+C17</f>
        <v>321577132.16957605</v>
      </c>
      <c r="D35" s="389">
        <f>+D16-D7</f>
        <v>0</v>
      </c>
      <c r="E35" s="388">
        <f>+C35*D35</f>
        <v>0</v>
      </c>
      <c r="F35" s="525" t="s">
        <v>252</v>
      </c>
      <c r="G35" s="525"/>
      <c r="H35" s="525"/>
      <c r="I35" s="526"/>
      <c r="J35"/>
    </row>
    <row r="36" spans="1:10" s="64" customFormat="1" x14ac:dyDescent="0.25">
      <c r="A36" s="154" t="s">
        <v>157</v>
      </c>
      <c r="B36" s="155" t="s">
        <v>248</v>
      </c>
      <c r="C36" s="466">
        <f>(+C17+C16)-(C8+C7)</f>
        <v>-572867.83042395115</v>
      </c>
      <c r="D36" s="467">
        <f>+D7</f>
        <v>2.7763164898064498E-2</v>
      </c>
      <c r="E36" s="465">
        <f>+C36*D36</f>
        <v>-15904.624040856606</v>
      </c>
      <c r="F36" s="525" t="s">
        <v>279</v>
      </c>
      <c r="G36" s="525"/>
      <c r="H36" s="525"/>
      <c r="I36" s="526"/>
      <c r="J36"/>
    </row>
    <row r="37" spans="1:10" s="64" customFormat="1" ht="15.75" thickBot="1" x14ac:dyDescent="0.3">
      <c r="A37" s="474" t="s">
        <v>157</v>
      </c>
      <c r="B37" s="475" t="s">
        <v>158</v>
      </c>
      <c r="C37" s="476">
        <f>'Variances in ac 1588'!F8</f>
        <v>321577132.16957605</v>
      </c>
      <c r="D37" s="477">
        <f>'Variances in ac 1588'!D8-'Variances in ac 1588'!C8</f>
        <v>1.1539618621321177E-4</v>
      </c>
      <c r="E37" s="478">
        <f>C37*D37</f>
        <v>37108.774625751008</v>
      </c>
      <c r="F37" s="479" t="s">
        <v>447</v>
      </c>
      <c r="G37" s="479"/>
      <c r="H37" s="479"/>
      <c r="I37" s="480"/>
      <c r="J37"/>
    </row>
    <row r="38" spans="1:10" s="64" customFormat="1" ht="15.75" thickBot="1" x14ac:dyDescent="0.3">
      <c r="A38" s="76"/>
      <c r="B38" s="75"/>
      <c r="C38" s="163" t="s">
        <v>256</v>
      </c>
      <c r="D38" s="390"/>
      <c r="E38" s="391">
        <f>SUM(E33:E37)</f>
        <v>-31308.380757928295</v>
      </c>
      <c r="F38" s="524"/>
      <c r="G38" s="525"/>
      <c r="H38" s="525"/>
      <c r="I38" s="526"/>
    </row>
    <row r="39" spans="1:10" s="64" customFormat="1" ht="15.75" thickTop="1" x14ac:dyDescent="0.25">
      <c r="B39"/>
      <c r="C39" s="176"/>
      <c r="D39"/>
      <c r="E39" s="6"/>
      <c r="F39" s="176"/>
      <c r="G39" s="176"/>
      <c r="H39" s="176"/>
      <c r="I39" s="176"/>
    </row>
    <row r="40" spans="1:10" s="64" customFormat="1" ht="15.75" thickBot="1" x14ac:dyDescent="0.3">
      <c r="A40" s="10" t="s">
        <v>266</v>
      </c>
      <c r="B40" s="6"/>
      <c r="C40" s="6"/>
      <c r="D40"/>
      <c r="E40"/>
      <c r="F40"/>
      <c r="G40"/>
      <c r="H40"/>
      <c r="J40"/>
    </row>
    <row r="41" spans="1:10" s="64" customFormat="1" ht="16.5" thickBot="1" x14ac:dyDescent="0.3">
      <c r="A41" s="36"/>
      <c r="B41" s="131"/>
      <c r="C41" s="513" t="s">
        <v>255</v>
      </c>
      <c r="D41" s="514"/>
      <c r="E41" s="514"/>
      <c r="F41" s="514" t="s">
        <v>165</v>
      </c>
      <c r="G41" s="514"/>
      <c r="H41" s="514"/>
      <c r="I41" s="515"/>
    </row>
    <row r="42" spans="1:10" s="64" customFormat="1" ht="15.75" thickBot="1" x14ac:dyDescent="0.3">
      <c r="A42" s="516"/>
      <c r="B42" s="517"/>
      <c r="C42" s="530" t="s">
        <v>434</v>
      </c>
      <c r="D42" s="531"/>
      <c r="E42"/>
      <c r="F42" s="534"/>
      <c r="G42" s="535"/>
      <c r="H42" s="535"/>
      <c r="I42" s="536"/>
    </row>
    <row r="43" spans="1:10" s="64" customFormat="1" ht="15" customHeight="1" thickBot="1" x14ac:dyDescent="0.3">
      <c r="A43" s="518"/>
      <c r="B43" s="519"/>
      <c r="C43" s="532"/>
      <c r="D43" s="533"/>
      <c r="E43" s="150">
        <f>+E25-G9</f>
        <v>-5087410.0548628457</v>
      </c>
      <c r="F43" s="524" t="s">
        <v>251</v>
      </c>
      <c r="G43" s="525"/>
      <c r="H43" s="525"/>
      <c r="I43" s="526"/>
    </row>
    <row r="44" spans="1:10" s="64" customFormat="1" ht="16.5" thickTop="1" thickBot="1" x14ac:dyDescent="0.3">
      <c r="A44" s="520"/>
      <c r="B44" s="521"/>
      <c r="C44" s="92"/>
      <c r="E44" s="67"/>
      <c r="F44" s="534"/>
      <c r="G44" s="535"/>
      <c r="H44" s="535"/>
      <c r="I44" s="536"/>
    </row>
    <row r="45" spans="1:10" s="64" customFormat="1" ht="16.5" thickBot="1" x14ac:dyDescent="0.3">
      <c r="A45" s="145" t="s">
        <v>246</v>
      </c>
      <c r="B45" s="146" t="s">
        <v>257</v>
      </c>
      <c r="C45" s="147" t="s">
        <v>162</v>
      </c>
      <c r="D45" s="148" t="s">
        <v>163</v>
      </c>
      <c r="E45" s="149" t="s">
        <v>166</v>
      </c>
      <c r="F45" s="537" t="s">
        <v>165</v>
      </c>
      <c r="G45" s="538"/>
      <c r="H45" s="538"/>
      <c r="I45" s="539"/>
    </row>
    <row r="46" spans="1:10" s="64" customFormat="1" x14ac:dyDescent="0.25">
      <c r="A46" s="152" t="s">
        <v>157</v>
      </c>
      <c r="B46" s="153" t="s">
        <v>247</v>
      </c>
      <c r="C46" s="181">
        <f>+B24</f>
        <v>286577132.16957605</v>
      </c>
      <c r="D46" s="182">
        <f>+D24-F8</f>
        <v>-1.7540629685157419E-2</v>
      </c>
      <c r="E46" s="179">
        <f>+D46*C46</f>
        <v>-5026743.351620947</v>
      </c>
      <c r="F46" s="543" t="s">
        <v>253</v>
      </c>
      <c r="G46" s="543"/>
      <c r="H46" s="543"/>
      <c r="I46" s="544"/>
      <c r="J46" s="82"/>
    </row>
    <row r="47" spans="1:10" s="64" customFormat="1" ht="15.75" thickBot="1" x14ac:dyDescent="0.3">
      <c r="A47" s="154" t="s">
        <v>157</v>
      </c>
      <c r="B47" s="155" t="s">
        <v>248</v>
      </c>
      <c r="C47" s="183">
        <f>+B8-B24</f>
        <v>572867.83042395115</v>
      </c>
      <c r="D47" s="184">
        <f>-F8</f>
        <v>-0.10589999999999999</v>
      </c>
      <c r="E47" s="185">
        <f>+C47*D47</f>
        <v>-60666.703241896423</v>
      </c>
      <c r="F47" s="522" t="s">
        <v>279</v>
      </c>
      <c r="G47" s="522"/>
      <c r="H47" s="522"/>
      <c r="I47" s="523"/>
      <c r="J47" s="57"/>
    </row>
    <row r="48" spans="1:10" s="64" customFormat="1" ht="15.75" thickBot="1" x14ac:dyDescent="0.3">
      <c r="A48" s="76"/>
      <c r="B48" s="75"/>
      <c r="C48" s="163" t="s">
        <v>256</v>
      </c>
      <c r="D48" s="163"/>
      <c r="E48" s="151">
        <f>SUM(E46:E47)</f>
        <v>-5087410.0548628438</v>
      </c>
      <c r="F48" s="540"/>
      <c r="G48" s="541"/>
      <c r="H48" s="541"/>
      <c r="I48" s="542"/>
    </row>
    <row r="49" spans="1:11" s="64" customFormat="1" ht="15.75" thickTop="1" x14ac:dyDescent="0.25">
      <c r="A49"/>
      <c r="B49"/>
      <c r="C49"/>
    </row>
    <row r="59" spans="1:11" x14ac:dyDescent="0.25">
      <c r="I59" s="87"/>
      <c r="J59" s="63"/>
      <c r="K59" s="65"/>
    </row>
    <row r="60" spans="1:11" x14ac:dyDescent="0.25">
      <c r="I60" s="87"/>
      <c r="J60" s="63"/>
      <c r="K60" s="65"/>
    </row>
    <row r="61" spans="1:11" x14ac:dyDescent="0.25">
      <c r="I61" s="58"/>
      <c r="J61" s="51"/>
      <c r="K61" s="65"/>
    </row>
  </sheetData>
  <mergeCells count="32">
    <mergeCell ref="A1:I1"/>
    <mergeCell ref="D12:I12"/>
    <mergeCell ref="D21:E21"/>
    <mergeCell ref="F13:G13"/>
    <mergeCell ref="D13:E13"/>
    <mergeCell ref="F4:G4"/>
    <mergeCell ref="D4:E4"/>
    <mergeCell ref="A4:C4"/>
    <mergeCell ref="A13:C13"/>
    <mergeCell ref="A21:C21"/>
    <mergeCell ref="F48:I48"/>
    <mergeCell ref="C41:I41"/>
    <mergeCell ref="F42:I42"/>
    <mergeCell ref="F43:I43"/>
    <mergeCell ref="F44:I44"/>
    <mergeCell ref="F45:I45"/>
    <mergeCell ref="F46:I46"/>
    <mergeCell ref="C28:I28"/>
    <mergeCell ref="A29:B31"/>
    <mergeCell ref="A42:B44"/>
    <mergeCell ref="F47:I47"/>
    <mergeCell ref="F38:I38"/>
    <mergeCell ref="F29:I29"/>
    <mergeCell ref="C42:D43"/>
    <mergeCell ref="C29:D30"/>
    <mergeCell ref="F30:I30"/>
    <mergeCell ref="F31:I31"/>
    <mergeCell ref="F32:I32"/>
    <mergeCell ref="F33:I33"/>
    <mergeCell ref="F34:I34"/>
    <mergeCell ref="F35:I35"/>
    <mergeCell ref="F36:I36"/>
  </mergeCells>
  <pageMargins left="0.7" right="0.7" top="0.75" bottom="0.75" header="0.3" footer="0.3"/>
  <pageSetup paperSize="17"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S77"/>
  <sheetViews>
    <sheetView workbookViewId="0">
      <selection activeCell="K30" sqref="K30"/>
    </sheetView>
  </sheetViews>
  <sheetFormatPr defaultRowHeight="15" x14ac:dyDescent="0.25"/>
  <cols>
    <col min="1" max="1" width="19.85546875" customWidth="1"/>
    <col min="2" max="2" width="9.28515625" style="13"/>
    <col min="3" max="3" width="5" customWidth="1"/>
    <col min="4" max="4" width="17.28515625" style="4" customWidth="1"/>
    <col min="5" max="5" width="3" customWidth="1"/>
    <col min="6" max="6" width="13.7109375" style="4" customWidth="1"/>
    <col min="7" max="7" width="13.42578125" customWidth="1"/>
    <col min="8" max="8" width="6" style="13" customWidth="1"/>
    <col min="9" max="9" width="6.5703125" customWidth="1"/>
    <col min="10" max="10" width="18.42578125" customWidth="1"/>
    <col min="11" max="11" width="9.28515625" style="13"/>
    <col min="12" max="12" width="2.7109375" customWidth="1"/>
    <col min="13" max="13" width="14.5703125" style="4" customWidth="1"/>
    <col min="14" max="14" width="3" customWidth="1"/>
    <col min="15" max="15" width="14.7109375" style="4" customWidth="1"/>
    <col min="16" max="16" width="13.7109375" customWidth="1"/>
    <col min="17" max="17" width="9.5703125" style="13" customWidth="1"/>
    <col min="19" max="19" width="13.42578125" bestFit="1" customWidth="1"/>
  </cols>
  <sheetData>
    <row r="2" spans="1:17" x14ac:dyDescent="0.25">
      <c r="G2" s="5"/>
    </row>
    <row r="3" spans="1:17" s="10" customFormat="1" x14ac:dyDescent="0.25">
      <c r="B3" s="19"/>
      <c r="C3" s="493" t="s">
        <v>58</v>
      </c>
      <c r="D3" s="493"/>
      <c r="E3" s="493"/>
      <c r="F3" s="493"/>
      <c r="H3" s="19"/>
      <c r="K3" s="19"/>
      <c r="L3" s="493" t="s">
        <v>172</v>
      </c>
      <c r="M3" s="493"/>
      <c r="N3" s="493"/>
      <c r="O3" s="493"/>
      <c r="Q3" s="19"/>
    </row>
    <row r="4" spans="1:17" s="10" customFormat="1" ht="15.75" thickBot="1" x14ac:dyDescent="0.3">
      <c r="A4" s="10" t="s">
        <v>59</v>
      </c>
      <c r="B4" s="19" t="s">
        <v>171</v>
      </c>
      <c r="C4" s="563" t="s">
        <v>92</v>
      </c>
      <c r="D4" s="563"/>
      <c r="E4" s="563" t="s">
        <v>93</v>
      </c>
      <c r="F4" s="563"/>
      <c r="G4" s="100" t="s">
        <v>60</v>
      </c>
      <c r="H4" s="135" t="s">
        <v>177</v>
      </c>
      <c r="J4" s="10" t="s">
        <v>59</v>
      </c>
      <c r="K4" s="19" t="s">
        <v>171</v>
      </c>
      <c r="L4" s="563" t="s">
        <v>92</v>
      </c>
      <c r="M4" s="563"/>
      <c r="N4" s="563" t="s">
        <v>93</v>
      </c>
      <c r="O4" s="563"/>
      <c r="P4" s="100" t="s">
        <v>60</v>
      </c>
      <c r="Q4" s="135" t="s">
        <v>177</v>
      </c>
    </row>
    <row r="5" spans="1:17" ht="15.75" thickTop="1" x14ac:dyDescent="0.25">
      <c r="A5" s="330" t="str">
        <f>+JEs!B2</f>
        <v>December 31, 2025</v>
      </c>
      <c r="B5" s="13">
        <v>1</v>
      </c>
      <c r="C5" s="99"/>
      <c r="D5" s="101">
        <f>JEs!D5</f>
        <v>5200000</v>
      </c>
      <c r="E5" s="99"/>
      <c r="F5" s="103"/>
      <c r="J5" s="330" t="str">
        <f>+JEs!B2</f>
        <v>December 31, 2025</v>
      </c>
      <c r="K5" s="13">
        <v>1</v>
      </c>
      <c r="L5" s="99"/>
      <c r="M5" s="101">
        <f>JEs!D8</f>
        <v>1850000</v>
      </c>
      <c r="N5" s="99"/>
      <c r="O5" s="103"/>
    </row>
    <row r="6" spans="1:17" x14ac:dyDescent="0.25">
      <c r="A6" s="330" t="str">
        <f>+A5</f>
        <v>December 31, 2025</v>
      </c>
      <c r="B6" s="13">
        <v>1</v>
      </c>
      <c r="D6" s="102">
        <f>JEs!D6</f>
        <v>15968100</v>
      </c>
      <c r="F6" s="24"/>
      <c r="J6" s="330" t="str">
        <f>+J5</f>
        <v>December 31, 2025</v>
      </c>
      <c r="K6" s="13">
        <v>1</v>
      </c>
      <c r="M6" s="102">
        <f>JEs!D9</f>
        <v>21642500</v>
      </c>
    </row>
    <row r="7" spans="1:17" x14ac:dyDescent="0.25">
      <c r="A7" s="330" t="str">
        <f t="shared" ref="A7:A9" si="0">+A6</f>
        <v>December 31, 2025</v>
      </c>
      <c r="B7" s="13">
        <v>1</v>
      </c>
      <c r="D7" s="102">
        <f>JEs!D7</f>
        <v>17707500</v>
      </c>
      <c r="J7" s="330" t="s">
        <v>388</v>
      </c>
      <c r="M7" s="102">
        <f>SUM(M5:M6)</f>
        <v>23492500</v>
      </c>
      <c r="P7" s="5">
        <f>M7-O7</f>
        <v>23492500</v>
      </c>
      <c r="Q7" s="121"/>
    </row>
    <row r="8" spans="1:17" x14ac:dyDescent="0.25">
      <c r="A8" s="330" t="str">
        <f t="shared" si="0"/>
        <v>December 31, 2025</v>
      </c>
      <c r="B8" s="13">
        <v>1</v>
      </c>
      <c r="D8" s="102"/>
      <c r="F8" s="107">
        <f>-JEs!E10</f>
        <v>2167665.0533261839</v>
      </c>
      <c r="J8" s="330"/>
      <c r="M8" s="102"/>
    </row>
    <row r="9" spans="1:17" x14ac:dyDescent="0.25">
      <c r="A9" s="330" t="str">
        <f t="shared" si="0"/>
        <v>December 31, 2025</v>
      </c>
      <c r="B9" s="109">
        <v>1</v>
      </c>
      <c r="C9" s="108"/>
      <c r="D9" s="110"/>
      <c r="E9" s="108"/>
      <c r="F9" s="111">
        <f>-JEs!E11</f>
        <v>-4965699.2353440998</v>
      </c>
      <c r="J9" s="330" t="str">
        <f>+JEs!B38</f>
        <v>January 1, 2026</v>
      </c>
      <c r="K9" s="13">
        <v>4</v>
      </c>
      <c r="M9" s="102"/>
      <c r="O9" s="4">
        <f>-JEs!E47</f>
        <v>-1850000</v>
      </c>
    </row>
    <row r="10" spans="1:17" x14ac:dyDescent="0.25">
      <c r="A10" s="330" t="s">
        <v>389</v>
      </c>
      <c r="D10" s="102">
        <f>SUM(D5:D9)</f>
        <v>38875600</v>
      </c>
      <c r="F10" s="107">
        <f>SUM(F5:F9)</f>
        <v>-2798034.1820179159</v>
      </c>
      <c r="G10" s="310">
        <f>D10+F10</f>
        <v>36077565.817982085</v>
      </c>
      <c r="H10" s="121"/>
      <c r="J10" s="330" t="str">
        <f>+J9</f>
        <v>January 1, 2026</v>
      </c>
      <c r="K10" s="13">
        <v>4</v>
      </c>
      <c r="M10" s="102"/>
      <c r="O10" s="4">
        <f>-JEs!E48</f>
        <v>-21642500</v>
      </c>
    </row>
    <row r="11" spans="1:17" x14ac:dyDescent="0.25">
      <c r="A11" s="328"/>
      <c r="D11" s="102"/>
      <c r="G11" s="5"/>
      <c r="H11" s="121"/>
      <c r="J11" s="330" t="str">
        <f>+JEs!B66</f>
        <v>January 15, 2026</v>
      </c>
      <c r="K11" s="13">
        <v>6</v>
      </c>
      <c r="M11" s="102">
        <f>JEs!D71</f>
        <v>1980000</v>
      </c>
    </row>
    <row r="12" spans="1:17" x14ac:dyDescent="0.25">
      <c r="A12" s="330" t="s">
        <v>388</v>
      </c>
      <c r="D12" s="102">
        <f>+D10+D11</f>
        <v>38875600</v>
      </c>
      <c r="F12" s="107">
        <f>+F10+F11</f>
        <v>-2798034.1820179159</v>
      </c>
      <c r="G12" s="310">
        <f>+D12+F12</f>
        <v>36077565.817982085</v>
      </c>
      <c r="H12" s="121"/>
      <c r="J12" s="330" t="str">
        <f>+J11</f>
        <v>January 15, 2026</v>
      </c>
      <c r="K12" s="13">
        <v>6</v>
      </c>
      <c r="M12" s="102">
        <f>JEs!D73</f>
        <v>24310976.25</v>
      </c>
    </row>
    <row r="13" spans="1:17" x14ac:dyDescent="0.25">
      <c r="A13" s="330"/>
      <c r="D13" s="102"/>
      <c r="G13" s="5"/>
      <c r="J13" s="330" t="s">
        <v>397</v>
      </c>
      <c r="M13" s="110">
        <f>SUM(M9:M12)</f>
        <v>26290976.25</v>
      </c>
      <c r="O13" s="4">
        <f>SUM(O9:O12)</f>
        <v>-23492500</v>
      </c>
      <c r="P13" s="5">
        <f>M13+O13</f>
        <v>2798476.25</v>
      </c>
    </row>
    <row r="14" spans="1:17" ht="15.75" customHeight="1" x14ac:dyDescent="0.25">
      <c r="A14" s="330" t="str">
        <f>+JEs!B38</f>
        <v>January 1, 2026</v>
      </c>
      <c r="B14" s="13">
        <v>4</v>
      </c>
      <c r="C14" s="105"/>
      <c r="D14" s="311">
        <f>JEs!D41</f>
        <v>-2167665.0533261839</v>
      </c>
      <c r="E14" s="105"/>
      <c r="F14" s="107"/>
      <c r="G14" s="105"/>
      <c r="H14" s="106"/>
      <c r="J14" s="331" t="str">
        <f>+JEs!B113</f>
        <v>January 31, 2026</v>
      </c>
      <c r="K14" s="116">
        <v>10</v>
      </c>
      <c r="L14" s="115"/>
      <c r="M14" s="117"/>
      <c r="N14" s="115"/>
      <c r="O14" s="118">
        <f>-P13-P49</f>
        <v>-2668476.25</v>
      </c>
      <c r="P14" s="119"/>
      <c r="Q14" s="116" t="s">
        <v>94</v>
      </c>
    </row>
    <row r="15" spans="1:17" x14ac:dyDescent="0.25">
      <c r="A15" s="330" t="str">
        <f>+A14</f>
        <v>January 1, 2026</v>
      </c>
      <c r="B15" s="13">
        <v>4</v>
      </c>
      <c r="D15" s="102">
        <f>JEs!D42</f>
        <v>4965699.2353440998</v>
      </c>
      <c r="J15" s="330" t="s">
        <v>394</v>
      </c>
      <c r="M15" s="110">
        <f>SUM(M13:M14)</f>
        <v>26290976.25</v>
      </c>
      <c r="O15" s="4">
        <f>SUM(O13:O14)</f>
        <v>-26160976.25</v>
      </c>
      <c r="P15" s="5">
        <f>M15+O15</f>
        <v>130000</v>
      </c>
    </row>
    <row r="16" spans="1:17" x14ac:dyDescent="0.25">
      <c r="A16" s="330" t="str">
        <f t="shared" ref="A16:A18" si="1">+A15</f>
        <v>January 1, 2026</v>
      </c>
      <c r="B16" s="13">
        <v>4</v>
      </c>
      <c r="D16" s="102"/>
      <c r="F16" s="4">
        <f>-JEs!E44</f>
        <v>-5200000</v>
      </c>
      <c r="M16" s="102"/>
    </row>
    <row r="17" spans="1:19" x14ac:dyDescent="0.25">
      <c r="A17" s="330" t="str">
        <f t="shared" si="1"/>
        <v>January 1, 2026</v>
      </c>
      <c r="B17" s="13">
        <v>4</v>
      </c>
      <c r="D17" s="102"/>
      <c r="F17" s="4">
        <f>-JEs!E45</f>
        <v>-15968100</v>
      </c>
      <c r="J17" s="330" t="str">
        <f>+JEs!B155</f>
        <v>February 28, 2026</v>
      </c>
      <c r="K17" s="13">
        <v>14</v>
      </c>
      <c r="M17" s="102">
        <f>JEs!D158</f>
        <v>1010798.695137158</v>
      </c>
    </row>
    <row r="18" spans="1:19" x14ac:dyDescent="0.25">
      <c r="A18" s="330" t="str">
        <f t="shared" si="1"/>
        <v>January 1, 2026</v>
      </c>
      <c r="B18" s="13">
        <v>4</v>
      </c>
      <c r="D18" s="102"/>
      <c r="F18" s="4">
        <f>-JEs!E46</f>
        <v>-17707500</v>
      </c>
      <c r="J18" s="330" t="s">
        <v>396</v>
      </c>
      <c r="M18" s="102">
        <f>SUM(M17)</f>
        <v>1010798.695137158</v>
      </c>
      <c r="O18" s="4">
        <f>SUM(O17)</f>
        <v>0</v>
      </c>
      <c r="P18" s="5">
        <f>M18+O18</f>
        <v>1010798.695137158</v>
      </c>
      <c r="Q18" s="121"/>
    </row>
    <row r="19" spans="1:19" x14ac:dyDescent="0.25">
      <c r="A19" s="330" t="str">
        <f>+JEs!B66</f>
        <v>January 15, 2026</v>
      </c>
      <c r="B19" s="13">
        <v>6</v>
      </c>
      <c r="D19" s="102">
        <f>JEs!D69</f>
        <v>5200000</v>
      </c>
      <c r="M19" s="102"/>
    </row>
    <row r="20" spans="1:19" x14ac:dyDescent="0.25">
      <c r="A20" s="330" t="str">
        <f>+A19</f>
        <v>January 15, 2026</v>
      </c>
      <c r="B20" s="13">
        <v>6</v>
      </c>
      <c r="D20" s="102">
        <f>JEs!D70</f>
        <v>16239300</v>
      </c>
      <c r="M20" s="102"/>
    </row>
    <row r="21" spans="1:19" x14ac:dyDescent="0.25">
      <c r="A21" s="330" t="str">
        <f>+A20</f>
        <v>January 15, 2026</v>
      </c>
      <c r="B21" s="13">
        <v>6</v>
      </c>
      <c r="D21" s="102">
        <f>JEs!D72</f>
        <v>19890798.75</v>
      </c>
      <c r="M21" s="102"/>
    </row>
    <row r="22" spans="1:19" x14ac:dyDescent="0.25">
      <c r="A22" s="330" t="str">
        <f t="shared" ref="A22:A23" si="2">+A21</f>
        <v>January 15, 2026</v>
      </c>
      <c r="B22" s="329">
        <v>6</v>
      </c>
      <c r="D22" s="102"/>
      <c r="F22" s="107">
        <f>-JEs!E74</f>
        <v>2167665.0533261839</v>
      </c>
    </row>
    <row r="23" spans="1:19" x14ac:dyDescent="0.25">
      <c r="A23" s="330" t="str">
        <f t="shared" si="2"/>
        <v>January 15, 2026</v>
      </c>
      <c r="B23" s="13">
        <v>6</v>
      </c>
      <c r="D23" s="102"/>
      <c r="F23" s="111">
        <f>-JEs!E75</f>
        <v>-4965699.2353440998</v>
      </c>
    </row>
    <row r="24" spans="1:19" x14ac:dyDescent="0.25">
      <c r="A24" s="330" t="str">
        <f>+JEs!B81</f>
        <v>January 31, 2026</v>
      </c>
      <c r="B24" s="13">
        <v>7</v>
      </c>
      <c r="D24" s="102"/>
      <c r="F24" s="107">
        <f>-JEs!E85</f>
        <v>-2297090.389127064</v>
      </c>
    </row>
    <row r="25" spans="1:19" x14ac:dyDescent="0.25">
      <c r="A25" s="330" t="s">
        <v>397</v>
      </c>
      <c r="D25" s="311">
        <f>SUM(D14:D24)</f>
        <v>44128132.932017915</v>
      </c>
      <c r="E25" s="312"/>
      <c r="F25" s="293">
        <f>SUM(F14:F24)</f>
        <v>-43970724.571144976</v>
      </c>
      <c r="G25" s="310">
        <f>+D25+F25</f>
        <v>157408.36087293923</v>
      </c>
    </row>
    <row r="26" spans="1:19" x14ac:dyDescent="0.25">
      <c r="A26" s="331" t="str">
        <f>+JEs!B113</f>
        <v>January 31, 2026</v>
      </c>
      <c r="B26" s="121">
        <v>10</v>
      </c>
      <c r="C26" s="120"/>
      <c r="D26" s="122"/>
      <c r="E26" s="120"/>
      <c r="F26" s="313">
        <f>-G25-G51</f>
        <v>-157408.36087293923</v>
      </c>
      <c r="G26" s="120"/>
      <c r="H26" s="121" t="s">
        <v>64</v>
      </c>
    </row>
    <row r="27" spans="1:19" x14ac:dyDescent="0.25">
      <c r="A27" s="330" t="s">
        <v>394</v>
      </c>
      <c r="D27" s="110">
        <f>SUM(D25:D26)</f>
        <v>44128132.932017915</v>
      </c>
      <c r="F27" s="107">
        <f>SUM(F25:F26)</f>
        <v>-44128132.932017915</v>
      </c>
      <c r="G27" s="5">
        <f>D27+F27</f>
        <v>0</v>
      </c>
    </row>
    <row r="28" spans="1:19" x14ac:dyDescent="0.25">
      <c r="A28" s="330"/>
      <c r="D28" s="102"/>
      <c r="S28" s="5"/>
    </row>
    <row r="29" spans="1:19" x14ac:dyDescent="0.25">
      <c r="A29" s="330" t="str">
        <f>+JEs!B146</f>
        <v>February 28, 2026</v>
      </c>
      <c r="B29" s="13">
        <v>13</v>
      </c>
      <c r="D29" s="311">
        <f>'RPP 2nd TU'!K46</f>
        <v>10326.043026244399</v>
      </c>
      <c r="S29" s="5"/>
    </row>
    <row r="30" spans="1:19" x14ac:dyDescent="0.25">
      <c r="A30" s="330" t="str">
        <f>+JEs!B155</f>
        <v>February 28, 2026</v>
      </c>
      <c r="B30" s="13">
        <v>14</v>
      </c>
      <c r="D30" s="102"/>
      <c r="F30" s="4">
        <f>-JEs!E159</f>
        <v>-1010798.695137158</v>
      </c>
      <c r="S30" s="5"/>
    </row>
    <row r="31" spans="1:19" x14ac:dyDescent="0.25">
      <c r="A31" s="330" t="s">
        <v>395</v>
      </c>
      <c r="D31" s="311">
        <f>SUM(D29:D30)</f>
        <v>10326.043026244399</v>
      </c>
      <c r="F31" s="111">
        <f>SUM(F29:F30)</f>
        <v>-1010798.695137158</v>
      </c>
      <c r="G31" s="310">
        <f>D31+F31</f>
        <v>-1000472.6521109137</v>
      </c>
      <c r="S31" s="5"/>
    </row>
    <row r="32" spans="1:19" x14ac:dyDescent="0.25">
      <c r="A32" s="331" t="str">
        <f>+JEs!B164</f>
        <v>February 28, 2026</v>
      </c>
      <c r="B32" s="121">
        <v>15</v>
      </c>
      <c r="C32" s="120"/>
      <c r="D32" s="314">
        <f>-G31-G57</f>
        <v>188716.74539107259</v>
      </c>
      <c r="E32" s="120"/>
      <c r="F32" s="123"/>
      <c r="G32" s="120"/>
      <c r="H32" s="121" t="s">
        <v>189</v>
      </c>
      <c r="S32" s="5"/>
    </row>
    <row r="33" spans="1:19" x14ac:dyDescent="0.25">
      <c r="A33" s="330" t="s">
        <v>396</v>
      </c>
      <c r="D33" s="311">
        <f>SUM(D31:D32)</f>
        <v>199042.78841731697</v>
      </c>
      <c r="F33" s="111">
        <f>SUM(F31:F32)</f>
        <v>-1010798.695137158</v>
      </c>
      <c r="G33" s="310">
        <f>SUM(D33:F33)</f>
        <v>-811755.90671984106</v>
      </c>
      <c r="S33" s="5"/>
    </row>
    <row r="34" spans="1:19" x14ac:dyDescent="0.25">
      <c r="S34" s="5"/>
    </row>
    <row r="36" spans="1:19" s="10" customFormat="1" ht="27.75" customHeight="1" x14ac:dyDescent="0.25">
      <c r="B36" s="19"/>
      <c r="C36" s="493" t="s">
        <v>173</v>
      </c>
      <c r="D36" s="493"/>
      <c r="E36" s="493"/>
      <c r="F36" s="493"/>
      <c r="H36" s="19"/>
      <c r="K36" s="19"/>
      <c r="L36" s="562" t="s">
        <v>174</v>
      </c>
      <c r="M36" s="562"/>
      <c r="N36" s="562"/>
      <c r="O36" s="562"/>
      <c r="Q36" s="19"/>
    </row>
    <row r="37" spans="1:19" s="10" customFormat="1" ht="15.75" thickBot="1" x14ac:dyDescent="0.3">
      <c r="A37" s="10" t="s">
        <v>59</v>
      </c>
      <c r="B37" s="19" t="s">
        <v>171</v>
      </c>
      <c r="C37" s="563" t="s">
        <v>92</v>
      </c>
      <c r="D37" s="563"/>
      <c r="E37" s="563" t="s">
        <v>93</v>
      </c>
      <c r="F37" s="563"/>
      <c r="G37" s="100" t="s">
        <v>60</v>
      </c>
      <c r="H37" s="135" t="s">
        <v>177</v>
      </c>
      <c r="J37" s="10" t="s">
        <v>59</v>
      </c>
      <c r="K37" s="19" t="s">
        <v>171</v>
      </c>
      <c r="L37" s="563" t="s">
        <v>92</v>
      </c>
      <c r="M37" s="563"/>
      <c r="N37" s="563" t="s">
        <v>93</v>
      </c>
      <c r="O37" s="563"/>
      <c r="P37" s="100" t="s">
        <v>60</v>
      </c>
      <c r="Q37" s="135" t="s">
        <v>177</v>
      </c>
    </row>
    <row r="38" spans="1:19" ht="15.75" thickTop="1" x14ac:dyDescent="0.25">
      <c r="A38" s="330" t="str">
        <f>+JEs!B17</f>
        <v>December 31, 2025</v>
      </c>
      <c r="B38" s="13">
        <v>2</v>
      </c>
      <c r="C38" s="99"/>
      <c r="D38" s="101"/>
      <c r="E38" s="99"/>
      <c r="F38" s="315">
        <f>-JEs!E21</f>
        <v>-27204000</v>
      </c>
      <c r="J38" s="330" t="str">
        <f>+JEs!B17</f>
        <v>December 31, 2025</v>
      </c>
      <c r="K38" s="13">
        <v>2</v>
      </c>
      <c r="L38" s="99"/>
      <c r="M38" s="101"/>
      <c r="N38" s="99"/>
      <c r="O38" s="103">
        <f>-JEs!E23</f>
        <v>-1850000</v>
      </c>
    </row>
    <row r="39" spans="1:19" x14ac:dyDescent="0.25">
      <c r="A39" s="330" t="str">
        <f>+A38</f>
        <v>December 31, 2025</v>
      </c>
      <c r="B39" s="13">
        <v>2</v>
      </c>
      <c r="D39" s="102"/>
      <c r="F39" s="4">
        <f>-JEs!E22</f>
        <v>-8873565.8142218981</v>
      </c>
      <c r="J39" s="330" t="str">
        <f>+J38</f>
        <v>December 31, 2025</v>
      </c>
      <c r="K39" s="13">
        <v>2</v>
      </c>
      <c r="M39" s="102"/>
      <c r="O39" s="4">
        <f>-JEs!E24</f>
        <v>-29122500</v>
      </c>
    </row>
    <row r="40" spans="1:19" x14ac:dyDescent="0.25">
      <c r="A40" s="330" t="s">
        <v>389</v>
      </c>
      <c r="D40" s="316"/>
      <c r="F40" s="107">
        <f>SUM(F38:F39)</f>
        <v>-36077565.814221896</v>
      </c>
      <c r="G40" s="310">
        <f>D40+F40</f>
        <v>-36077565.814221896</v>
      </c>
      <c r="H40" s="121"/>
      <c r="J40" s="330" t="s">
        <v>389</v>
      </c>
      <c r="M40" s="316"/>
      <c r="O40" s="4">
        <f>SUM(O38:O39)</f>
        <v>-30972500</v>
      </c>
      <c r="P40" s="5">
        <f>M40+O40</f>
        <v>-30972500</v>
      </c>
      <c r="Q40" s="121"/>
      <c r="S40" s="5"/>
    </row>
    <row r="41" spans="1:19" x14ac:dyDescent="0.25">
      <c r="A41" s="330" t="str">
        <f>+JEs!B29</f>
        <v>December 31, 2025</v>
      </c>
      <c r="B41" s="13">
        <v>3</v>
      </c>
      <c r="D41" s="102">
        <f>-G10-G40</f>
        <v>-3.7601888179779053E-3</v>
      </c>
      <c r="G41" s="5"/>
      <c r="H41" s="121" t="s">
        <v>62</v>
      </c>
      <c r="J41" s="331" t="str">
        <f>+JEs!B29</f>
        <v>December 31, 2025</v>
      </c>
      <c r="K41" s="121">
        <v>3</v>
      </c>
      <c r="L41" s="120"/>
      <c r="M41" s="122">
        <f>-P40-P7</f>
        <v>7480000</v>
      </c>
      <c r="N41" s="120"/>
      <c r="O41" s="123"/>
      <c r="P41" s="120"/>
      <c r="Q41" s="121" t="s">
        <v>63</v>
      </c>
      <c r="S41" s="5"/>
    </row>
    <row r="42" spans="1:19" x14ac:dyDescent="0.25">
      <c r="A42" s="330" t="s">
        <v>388</v>
      </c>
      <c r="D42" s="102">
        <f>+D40+D41</f>
        <v>-3.7601888179779053E-3</v>
      </c>
      <c r="F42" s="107">
        <f>+F40+F41</f>
        <v>-36077565.814221896</v>
      </c>
      <c r="G42" s="310">
        <f>+D42+F42</f>
        <v>-36077565.817982085</v>
      </c>
      <c r="H42" s="121"/>
      <c r="J42" s="330" t="s">
        <v>388</v>
      </c>
      <c r="K42" s="121"/>
      <c r="L42" s="120"/>
      <c r="M42" s="110">
        <f>SUM(M40:M41)</f>
        <v>7480000</v>
      </c>
      <c r="N42" s="120"/>
      <c r="O42" s="111">
        <f>SUM(O40:O41)</f>
        <v>-30972500</v>
      </c>
      <c r="P42" s="5">
        <f>M42+O42</f>
        <v>-23492500</v>
      </c>
      <c r="Q42" s="121"/>
      <c r="S42" s="5"/>
    </row>
    <row r="43" spans="1:19" x14ac:dyDescent="0.25">
      <c r="A43" s="330"/>
      <c r="D43" s="102"/>
      <c r="J43" s="330"/>
      <c r="M43" s="102"/>
    </row>
    <row r="44" spans="1:19" x14ac:dyDescent="0.25">
      <c r="A44" s="330"/>
      <c r="D44" s="102"/>
      <c r="J44" s="330" t="str">
        <f>+JEs!B53</f>
        <v>January 1, 2026</v>
      </c>
      <c r="K44" s="13">
        <v>5</v>
      </c>
      <c r="M44" s="102">
        <f>JEs!D59</f>
        <v>1850000</v>
      </c>
    </row>
    <row r="45" spans="1:19" x14ac:dyDescent="0.25">
      <c r="A45" s="330" t="str">
        <f>+JEs!B53</f>
        <v>January 1, 2026</v>
      </c>
      <c r="B45" s="13">
        <v>5</v>
      </c>
      <c r="D45" s="311">
        <f>JEs!D57</f>
        <v>27204000</v>
      </c>
      <c r="J45" s="330" t="str">
        <f>+J44</f>
        <v>January 1, 2026</v>
      </c>
      <c r="K45" s="13">
        <v>5</v>
      </c>
      <c r="M45" s="102">
        <f>JEs!D60</f>
        <v>29122500</v>
      </c>
    </row>
    <row r="46" spans="1:19" x14ac:dyDescent="0.25">
      <c r="A46" s="330" t="str">
        <f>+A45</f>
        <v>January 1, 2026</v>
      </c>
      <c r="B46" s="13">
        <v>5</v>
      </c>
      <c r="D46" s="102">
        <f>JEs!D58</f>
        <v>8873565.8142218981</v>
      </c>
      <c r="J46" s="330" t="str">
        <f>+JEs!B90</f>
        <v>January 31, 2026</v>
      </c>
      <c r="K46" s="13">
        <v>8</v>
      </c>
      <c r="M46" s="102"/>
      <c r="O46" s="4">
        <f>-JEs!E96</f>
        <v>-1980000</v>
      </c>
    </row>
    <row r="47" spans="1:19" x14ac:dyDescent="0.25">
      <c r="A47" s="330" t="str">
        <f>+JEs!B90</f>
        <v>January 31, 2026</v>
      </c>
      <c r="B47" s="13">
        <v>8</v>
      </c>
      <c r="D47" s="102"/>
      <c r="F47" s="107">
        <f>-JEs!E94</f>
        <v>-13602000</v>
      </c>
      <c r="G47" s="5"/>
      <c r="J47" s="330" t="str">
        <f>+J46</f>
        <v>January 31, 2026</v>
      </c>
      <c r="K47" s="13">
        <v>8</v>
      </c>
      <c r="M47" s="102"/>
      <c r="O47" s="4">
        <f>-JEs!E97</f>
        <v>-14561250</v>
      </c>
    </row>
    <row r="48" spans="1:19" x14ac:dyDescent="0.25">
      <c r="A48" s="330" t="str">
        <f>+A47</f>
        <v>January 31, 2026</v>
      </c>
      <c r="B48" s="13">
        <v>8</v>
      </c>
      <c r="D48" s="102"/>
      <c r="F48" s="111">
        <f>-JEs!E95</f>
        <v>-4436782.907110949</v>
      </c>
      <c r="J48" s="330" t="str">
        <f>+JEs!B102</f>
        <v>January 31, 2026</v>
      </c>
      <c r="K48" s="109">
        <v>9</v>
      </c>
      <c r="L48" s="108"/>
      <c r="M48" s="110"/>
      <c r="N48" s="108"/>
      <c r="O48" s="111">
        <f>-JEs!E108</f>
        <v>-14561250</v>
      </c>
    </row>
    <row r="49" spans="1:17" x14ac:dyDescent="0.25">
      <c r="A49" s="330" t="str">
        <f>+JEs!B102</f>
        <v>January 31, 2026</v>
      </c>
      <c r="B49" s="13">
        <v>9</v>
      </c>
      <c r="D49" s="102"/>
      <c r="F49" s="107">
        <f>-JEs!E106</f>
        <v>-13602000</v>
      </c>
      <c r="J49" s="330" t="s">
        <v>394</v>
      </c>
      <c r="M49" s="102">
        <f>SUM(M44:M48)</f>
        <v>30972500</v>
      </c>
      <c r="O49" s="4">
        <f>SUM(O44:O48)</f>
        <v>-31102500</v>
      </c>
      <c r="P49" s="5">
        <f>M49+O49</f>
        <v>-130000</v>
      </c>
      <c r="Q49" s="121"/>
    </row>
    <row r="50" spans="1:17" x14ac:dyDescent="0.25">
      <c r="A50" s="330" t="str">
        <f>+A49</f>
        <v>January 31, 2026</v>
      </c>
      <c r="B50" s="13">
        <v>9</v>
      </c>
      <c r="D50" s="102"/>
      <c r="F50" s="111">
        <f>-JEs!E107</f>
        <v>-4436782.907110949</v>
      </c>
      <c r="M50" s="102"/>
      <c r="Q50" s="121"/>
    </row>
    <row r="51" spans="1:17" x14ac:dyDescent="0.25">
      <c r="A51" s="330" t="s">
        <v>394</v>
      </c>
      <c r="D51" s="110">
        <f>SUM(D45:D50)</f>
        <v>36077565.814221896</v>
      </c>
      <c r="F51" s="111">
        <f>SUM(F45:F50)</f>
        <v>-36077565.814221896</v>
      </c>
      <c r="G51" s="5">
        <f>D51+F51</f>
        <v>0</v>
      </c>
      <c r="J51" s="330" t="str">
        <f>+JEs!B124</f>
        <v>February 1, 2026</v>
      </c>
      <c r="K51" s="13">
        <v>11</v>
      </c>
      <c r="M51" s="102">
        <f>JEs!D129</f>
        <v>14561250</v>
      </c>
    </row>
    <row r="52" spans="1:17" x14ac:dyDescent="0.25">
      <c r="A52" s="330"/>
      <c r="D52" s="102"/>
      <c r="G52" s="5"/>
      <c r="J52" s="330" t="str">
        <f>+JEs!B135</f>
        <v>February 28, 2026</v>
      </c>
      <c r="K52" s="13">
        <v>12</v>
      </c>
      <c r="M52" s="102"/>
      <c r="O52" s="4">
        <f>-JEs!E141</f>
        <v>-15847935</v>
      </c>
    </row>
    <row r="53" spans="1:17" x14ac:dyDescent="0.25">
      <c r="A53" s="330" t="str">
        <f>+JEs!B124</f>
        <v>February 1, 2026</v>
      </c>
      <c r="B53" s="13">
        <v>11</v>
      </c>
      <c r="D53" s="311">
        <f>JEs!D127</f>
        <v>13602000</v>
      </c>
      <c r="J53" s="330" t="s">
        <v>395</v>
      </c>
      <c r="M53" s="102">
        <f>SUM(M51:M52)</f>
        <v>14561250</v>
      </c>
      <c r="O53" s="111">
        <f>SUM(O51:O52)</f>
        <v>-15847935</v>
      </c>
      <c r="P53" s="5">
        <f>M53+O53</f>
        <v>-1286685</v>
      </c>
      <c r="Q53" s="121"/>
    </row>
    <row r="54" spans="1:17" x14ac:dyDescent="0.25">
      <c r="A54" s="330" t="str">
        <f>+A53</f>
        <v>February 1, 2026</v>
      </c>
      <c r="B54" s="13">
        <v>11</v>
      </c>
      <c r="D54" s="102">
        <f>JEs!D128</f>
        <v>4436782.907110949</v>
      </c>
      <c r="J54" s="331" t="str">
        <f>+JEs!B164</f>
        <v>February 28, 2026</v>
      </c>
      <c r="K54" s="121">
        <v>15</v>
      </c>
      <c r="L54" s="120"/>
      <c r="M54" s="122">
        <f>-P18-P53</f>
        <v>275886.30486284196</v>
      </c>
      <c r="N54" s="120"/>
      <c r="O54" s="123"/>
      <c r="P54" s="120"/>
      <c r="Q54" s="121" t="s">
        <v>190</v>
      </c>
    </row>
    <row r="55" spans="1:17" x14ac:dyDescent="0.25">
      <c r="A55" s="330" t="str">
        <f>+JEs!B135</f>
        <v>February 28, 2026</v>
      </c>
      <c r="B55" s="13">
        <v>12</v>
      </c>
      <c r="D55" s="102"/>
      <c r="F55" s="107">
        <f>-JEs!E139</f>
        <v>-12719906.335590579</v>
      </c>
      <c r="J55" s="330" t="s">
        <v>396</v>
      </c>
      <c r="M55" s="102">
        <f>SUM(M53:M54)</f>
        <v>14837136.304862842</v>
      </c>
      <c r="O55" s="111">
        <f>SUM(O53:O54)</f>
        <v>-15847935</v>
      </c>
      <c r="P55" s="5">
        <f>M55+O55</f>
        <v>-1010798.695137158</v>
      </c>
    </row>
    <row r="56" spans="1:17" x14ac:dyDescent="0.25">
      <c r="A56" s="330" t="str">
        <f>+A55</f>
        <v>February 28, 2026</v>
      </c>
      <c r="B56" s="13">
        <v>12</v>
      </c>
      <c r="D56" s="102"/>
      <c r="F56" s="4">
        <f>-JEs!E140</f>
        <v>-4507120.6648005294</v>
      </c>
      <c r="M56" s="102"/>
    </row>
    <row r="57" spans="1:17" x14ac:dyDescent="0.25">
      <c r="A57" s="330" t="s">
        <v>396</v>
      </c>
      <c r="D57" s="311">
        <f>SUM(D53:D56)</f>
        <v>18038782.907110948</v>
      </c>
      <c r="F57" s="111">
        <f>SUM(F53:F56)</f>
        <v>-17227027.000391107</v>
      </c>
      <c r="G57" s="310">
        <f>D57+F57</f>
        <v>811755.90671984106</v>
      </c>
      <c r="H57" s="121"/>
      <c r="M57" s="102"/>
      <c r="O57" s="24"/>
    </row>
    <row r="58" spans="1:17" x14ac:dyDescent="0.25">
      <c r="D58" s="102"/>
      <c r="M58" s="102"/>
    </row>
    <row r="59" spans="1:17" x14ac:dyDescent="0.25">
      <c r="D59" s="24"/>
    </row>
    <row r="61" spans="1:17" s="10" customFormat="1" x14ac:dyDescent="0.25">
      <c r="B61" s="19"/>
      <c r="C61" s="493" t="s">
        <v>175</v>
      </c>
      <c r="D61" s="493"/>
      <c r="E61" s="493"/>
      <c r="F61" s="493"/>
      <c r="H61" s="19"/>
      <c r="K61" s="19"/>
      <c r="L61" s="493" t="s">
        <v>176</v>
      </c>
      <c r="M61" s="493"/>
      <c r="N61" s="493"/>
      <c r="O61" s="493"/>
      <c r="Q61" s="19"/>
    </row>
    <row r="62" spans="1:17" s="10" customFormat="1" ht="15.75" thickBot="1" x14ac:dyDescent="0.3">
      <c r="A62" s="10" t="s">
        <v>59</v>
      </c>
      <c r="B62" s="19" t="s">
        <v>171</v>
      </c>
      <c r="C62" s="563" t="s">
        <v>92</v>
      </c>
      <c r="D62" s="563"/>
      <c r="E62" s="563" t="s">
        <v>93</v>
      </c>
      <c r="F62" s="563"/>
      <c r="G62" s="100" t="s">
        <v>60</v>
      </c>
      <c r="H62" s="135" t="s">
        <v>177</v>
      </c>
      <c r="J62" s="10" t="s">
        <v>59</v>
      </c>
      <c r="K62" s="19" t="s">
        <v>171</v>
      </c>
      <c r="L62" s="563" t="s">
        <v>92</v>
      </c>
      <c r="M62" s="563"/>
      <c r="N62" s="563" t="s">
        <v>93</v>
      </c>
      <c r="O62" s="563"/>
      <c r="P62" s="100" t="s">
        <v>60</v>
      </c>
      <c r="Q62" s="135" t="s">
        <v>177</v>
      </c>
    </row>
    <row r="63" spans="1:17" ht="15.75" thickTop="1" x14ac:dyDescent="0.25">
      <c r="A63" s="330" t="str">
        <f>+JEs!B29</f>
        <v>December 31, 2025</v>
      </c>
      <c r="B63" s="109">
        <v>3</v>
      </c>
      <c r="C63" s="112"/>
      <c r="D63" s="113">
        <v>0</v>
      </c>
      <c r="E63" s="112"/>
      <c r="F63" s="114">
        <f>-D41</f>
        <v>3.7601888179779053E-3</v>
      </c>
      <c r="G63" s="108"/>
      <c r="H63" s="121" t="s">
        <v>62</v>
      </c>
      <c r="J63" s="330" t="str">
        <f>+JEs!B29</f>
        <v>December 31, 2025</v>
      </c>
      <c r="K63" s="13">
        <v>3</v>
      </c>
      <c r="L63" s="99"/>
      <c r="M63" s="101"/>
      <c r="N63" s="99"/>
      <c r="O63" s="114">
        <f>-M41</f>
        <v>-7480000</v>
      </c>
      <c r="Q63" s="121" t="s">
        <v>63</v>
      </c>
    </row>
    <row r="64" spans="1:17" x14ac:dyDescent="0.25">
      <c r="A64" s="330" t="str">
        <f>+JEs!B113</f>
        <v>January 31, 2026</v>
      </c>
      <c r="B64" s="13">
        <v>10</v>
      </c>
      <c r="D64" s="311">
        <f>-F26</f>
        <v>157408.36087293923</v>
      </c>
      <c r="F64" s="24"/>
      <c r="H64" s="121" t="s">
        <v>64</v>
      </c>
      <c r="J64" s="330" t="str">
        <f>+JEs!B113</f>
        <v>January 31, 2026</v>
      </c>
      <c r="K64" s="13">
        <v>10</v>
      </c>
      <c r="M64" s="102">
        <f>-O14</f>
        <v>2668476.25</v>
      </c>
      <c r="Q64" s="121" t="s">
        <v>94</v>
      </c>
    </row>
    <row r="65" spans="1:17" x14ac:dyDescent="0.25">
      <c r="A65" s="330" t="str">
        <f>+JEs!B164</f>
        <v>February 28, 2026</v>
      </c>
      <c r="B65" s="13">
        <v>15</v>
      </c>
      <c r="D65" s="102"/>
      <c r="F65" s="107">
        <f>-D32</f>
        <v>-188716.74539107259</v>
      </c>
      <c r="H65" s="121" t="s">
        <v>189</v>
      </c>
      <c r="J65" s="330" t="str">
        <f>+JEs!B164</f>
        <v>February 28, 2026</v>
      </c>
      <c r="K65" s="13">
        <v>15</v>
      </c>
      <c r="M65" s="102"/>
      <c r="O65" s="4">
        <f>-M54</f>
        <v>-275886.30486284196</v>
      </c>
      <c r="Q65" s="121" t="s">
        <v>190</v>
      </c>
    </row>
    <row r="66" spans="1:17" x14ac:dyDescent="0.25">
      <c r="A66" s="108" t="s">
        <v>193</v>
      </c>
      <c r="D66" s="311">
        <f>SUM(D63:D65)</f>
        <v>157408.36087293923</v>
      </c>
      <c r="F66" s="107">
        <f>SUM(F63:F65)</f>
        <v>-188716.74163088377</v>
      </c>
      <c r="G66" s="310">
        <f>D66+F66</f>
        <v>-31308.380757944542</v>
      </c>
      <c r="J66" s="108" t="s">
        <v>193</v>
      </c>
      <c r="M66" s="110">
        <f>SUM(M63:M65)</f>
        <v>2668476.25</v>
      </c>
      <c r="O66" s="4">
        <f>SUM(O63:O65)</f>
        <v>-7755886.304862842</v>
      </c>
      <c r="P66" s="5">
        <f>M66+O66</f>
        <v>-5087410.054862842</v>
      </c>
    </row>
    <row r="67" spans="1:17" x14ac:dyDescent="0.25">
      <c r="D67" s="102"/>
      <c r="M67" s="102"/>
      <c r="P67" s="5"/>
    </row>
    <row r="68" spans="1:17" x14ac:dyDescent="0.25">
      <c r="D68" s="102"/>
      <c r="M68" s="102"/>
    </row>
    <row r="69" spans="1:17" x14ac:dyDescent="0.25">
      <c r="D69" s="24"/>
      <c r="F69" s="24"/>
      <c r="M69" s="24"/>
      <c r="O69" s="24"/>
    </row>
    <row r="70" spans="1:17" x14ac:dyDescent="0.25">
      <c r="A70" s="564" t="s">
        <v>61</v>
      </c>
      <c r="B70" s="564"/>
      <c r="C70" s="4"/>
      <c r="D70"/>
      <c r="E70" s="4"/>
      <c r="F70"/>
      <c r="G70" s="13"/>
      <c r="H70"/>
      <c r="J70" s="13"/>
      <c r="K70"/>
      <c r="L70" s="4"/>
      <c r="M70"/>
      <c r="N70" s="4"/>
      <c r="O70"/>
      <c r="P70" s="13"/>
    </row>
    <row r="71" spans="1:17" x14ac:dyDescent="0.25">
      <c r="A71" s="13"/>
      <c r="B71" s="121" t="s">
        <v>62</v>
      </c>
      <c r="C71" s="566" t="s">
        <v>435</v>
      </c>
      <c r="D71" s="566"/>
      <c r="E71" s="566"/>
      <c r="F71" s="566"/>
      <c r="G71" s="566"/>
      <c r="H71" s="566"/>
      <c r="I71" s="566"/>
      <c r="J71" s="566"/>
      <c r="K71" s="566"/>
      <c r="L71" s="566"/>
      <c r="M71" s="566"/>
      <c r="N71" s="566"/>
      <c r="O71" s="566"/>
      <c r="P71" s="566"/>
    </row>
    <row r="72" spans="1:17" x14ac:dyDescent="0.25">
      <c r="A72" s="13"/>
      <c r="B72" s="121" t="s">
        <v>63</v>
      </c>
      <c r="C72" s="566" t="s">
        <v>436</v>
      </c>
      <c r="D72" s="566"/>
      <c r="E72" s="566"/>
      <c r="F72" s="566"/>
      <c r="G72" s="566"/>
      <c r="H72" s="566"/>
      <c r="I72" s="566"/>
      <c r="J72" s="566"/>
      <c r="K72" s="566"/>
      <c r="L72" s="566"/>
      <c r="M72" s="566"/>
      <c r="N72" s="566"/>
      <c r="O72" s="566"/>
      <c r="P72" s="566"/>
    </row>
    <row r="73" spans="1:17" x14ac:dyDescent="0.25">
      <c r="A73" s="13"/>
      <c r="B73" s="121" t="s">
        <v>64</v>
      </c>
      <c r="C73" s="565" t="s">
        <v>437</v>
      </c>
      <c r="D73" s="565"/>
      <c r="E73" s="565"/>
      <c r="F73" s="565"/>
      <c r="G73" s="565"/>
      <c r="H73" s="565"/>
      <c r="I73" s="565"/>
      <c r="J73" s="565"/>
      <c r="K73" s="565"/>
      <c r="L73" s="565"/>
      <c r="M73" s="565"/>
      <c r="N73" s="565"/>
      <c r="O73" s="565"/>
      <c r="P73" s="565"/>
    </row>
    <row r="74" spans="1:17" x14ac:dyDescent="0.25">
      <c r="A74" s="13"/>
      <c r="B74" s="121" t="s">
        <v>94</v>
      </c>
      <c r="C74" s="566" t="s">
        <v>438</v>
      </c>
      <c r="D74" s="566"/>
      <c r="E74" s="566"/>
      <c r="F74" s="566"/>
      <c r="G74" s="566"/>
      <c r="H74" s="566"/>
      <c r="I74" s="566"/>
      <c r="J74" s="566"/>
      <c r="K74" s="566"/>
      <c r="L74" s="566"/>
      <c r="M74" s="566"/>
      <c r="N74" s="566"/>
      <c r="O74" s="566"/>
      <c r="P74" s="566"/>
    </row>
    <row r="75" spans="1:17" x14ac:dyDescent="0.25">
      <c r="A75" s="13"/>
      <c r="B75" s="121" t="s">
        <v>189</v>
      </c>
      <c r="C75" s="565" t="s">
        <v>439</v>
      </c>
      <c r="D75" s="565"/>
      <c r="E75" s="565"/>
      <c r="F75" s="565"/>
      <c r="G75" s="565"/>
      <c r="H75" s="565"/>
      <c r="I75" s="565"/>
      <c r="J75" s="565"/>
      <c r="K75" s="565"/>
      <c r="L75" s="565"/>
      <c r="M75" s="565"/>
      <c r="N75" s="565"/>
      <c r="O75" s="565"/>
      <c r="P75" s="565"/>
    </row>
    <row r="76" spans="1:17" x14ac:dyDescent="0.25">
      <c r="A76" s="13"/>
      <c r="B76" s="121" t="s">
        <v>190</v>
      </c>
      <c r="C76" s="566" t="s">
        <v>440</v>
      </c>
      <c r="D76" s="566"/>
      <c r="E76" s="566"/>
      <c r="F76" s="566"/>
      <c r="G76" s="566"/>
      <c r="H76" s="566"/>
      <c r="I76" s="566"/>
      <c r="J76" s="566"/>
      <c r="K76" s="566"/>
      <c r="L76" s="566"/>
      <c r="M76" s="566"/>
      <c r="N76" s="566"/>
      <c r="O76" s="566"/>
      <c r="P76" s="566"/>
    </row>
    <row r="77" spans="1:17" x14ac:dyDescent="0.25">
      <c r="D77" s="24"/>
      <c r="F77" s="24"/>
      <c r="M77" s="24"/>
      <c r="O77" s="24"/>
    </row>
  </sheetData>
  <mergeCells count="25">
    <mergeCell ref="A70:B70"/>
    <mergeCell ref="C73:P73"/>
    <mergeCell ref="C74:P74"/>
    <mergeCell ref="C75:P75"/>
    <mergeCell ref="C76:P76"/>
    <mergeCell ref="C71:P71"/>
    <mergeCell ref="C72:P72"/>
    <mergeCell ref="L61:O61"/>
    <mergeCell ref="C62:D62"/>
    <mergeCell ref="E62:F62"/>
    <mergeCell ref="L62:M62"/>
    <mergeCell ref="N62:O62"/>
    <mergeCell ref="C61:F61"/>
    <mergeCell ref="C3:F3"/>
    <mergeCell ref="C4:D4"/>
    <mergeCell ref="E4:F4"/>
    <mergeCell ref="L4:M4"/>
    <mergeCell ref="N4:O4"/>
    <mergeCell ref="L3:O3"/>
    <mergeCell ref="C36:F36"/>
    <mergeCell ref="L36:O36"/>
    <mergeCell ref="C37:D37"/>
    <mergeCell ref="E37:F37"/>
    <mergeCell ref="L37:M37"/>
    <mergeCell ref="N37:O37"/>
  </mergeCells>
  <phoneticPr fontId="27" type="noConversion"/>
  <pageMargins left="0.7" right="0.7" top="0.75" bottom="0.75" header="0.3" footer="0.3"/>
  <pageSetup paperSize="17" scale="73" orientation="portrait" r:id="rId1"/>
  <ignoredErrors>
    <ignoredError sqref="A19 A49 A47 A55 J11 J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21"/>
  <sheetViews>
    <sheetView showGridLines="0" topLeftCell="B60" workbookViewId="0">
      <selection activeCell="F69" sqref="F69"/>
    </sheetView>
  </sheetViews>
  <sheetFormatPr defaultColWidth="8.7109375" defaultRowHeight="15" x14ac:dyDescent="0.25"/>
  <cols>
    <col min="1" max="1" width="69.5703125" customWidth="1"/>
    <col min="2" max="2" width="16.42578125" bestFit="1" customWidth="1"/>
    <col min="3" max="3" width="19.140625" customWidth="1"/>
    <col min="4" max="4" width="18.42578125" bestFit="1" customWidth="1"/>
    <col min="5" max="5" width="16.140625" bestFit="1" customWidth="1"/>
    <col min="6" max="6" width="70.28515625" customWidth="1"/>
    <col min="7" max="7" width="16.42578125" bestFit="1" customWidth="1"/>
    <col min="8" max="8" width="15" bestFit="1" customWidth="1"/>
    <col min="9" max="9" width="22.5703125" bestFit="1" customWidth="1"/>
    <col min="10" max="10" width="14.7109375" customWidth="1"/>
    <col min="11" max="11" width="50.7109375" customWidth="1"/>
    <col min="12" max="12" width="19.7109375" customWidth="1"/>
    <col min="13" max="13" width="14.7109375" customWidth="1"/>
    <col min="14" max="14" width="16.28515625" customWidth="1"/>
    <col min="15" max="15" width="21.7109375" customWidth="1"/>
    <col min="16" max="16" width="19.42578125" customWidth="1"/>
    <col min="17" max="17" width="26.42578125" customWidth="1"/>
    <col min="18" max="22" width="14.7109375" customWidth="1"/>
    <col min="23" max="23" width="12.28515625" bestFit="1" customWidth="1"/>
  </cols>
  <sheetData>
    <row r="1" spans="1:11" s="10" customFormat="1" ht="18.75" x14ac:dyDescent="0.3">
      <c r="A1" s="21" t="s">
        <v>408</v>
      </c>
      <c r="E1" s="426" t="s">
        <v>311</v>
      </c>
      <c r="F1" s="21" t="s">
        <v>409</v>
      </c>
      <c r="K1" s="21" t="s">
        <v>431</v>
      </c>
    </row>
    <row r="3" spans="1:11" x14ac:dyDescent="0.25">
      <c r="A3" s="10" t="s">
        <v>22</v>
      </c>
      <c r="F3" s="10" t="s">
        <v>111</v>
      </c>
    </row>
    <row r="4" spans="1:11" ht="30" x14ac:dyDescent="0.25">
      <c r="A4" s="10"/>
      <c r="B4" s="26" t="s">
        <v>103</v>
      </c>
      <c r="C4" s="19" t="s">
        <v>95</v>
      </c>
      <c r="D4" s="19" t="s">
        <v>96</v>
      </c>
      <c r="F4" s="10"/>
      <c r="G4" s="26" t="s">
        <v>103</v>
      </c>
      <c r="H4" s="19" t="s">
        <v>95</v>
      </c>
      <c r="I4" s="19" t="s">
        <v>96</v>
      </c>
    </row>
    <row r="5" spans="1:11" ht="17.25" x14ac:dyDescent="0.25">
      <c r="A5" t="s">
        <v>195</v>
      </c>
      <c r="C5" s="192">
        <v>527000000</v>
      </c>
      <c r="D5" s="193">
        <f>C5</f>
        <v>527000000</v>
      </c>
      <c r="F5" t="s">
        <v>209</v>
      </c>
      <c r="H5" s="192">
        <v>527250000</v>
      </c>
      <c r="I5" s="193">
        <f>+H5</f>
        <v>527250000</v>
      </c>
    </row>
    <row r="6" spans="1:11" ht="17.25" x14ac:dyDescent="0.25">
      <c r="A6" t="s">
        <v>196</v>
      </c>
      <c r="C6" s="192">
        <v>8000000</v>
      </c>
      <c r="D6" s="193">
        <f>+C6</f>
        <v>8000000</v>
      </c>
      <c r="F6" t="s">
        <v>208</v>
      </c>
      <c r="H6" s="192">
        <v>8000000</v>
      </c>
      <c r="I6" s="193">
        <f>+H6</f>
        <v>8000000</v>
      </c>
    </row>
    <row r="7" spans="1:11" x14ac:dyDescent="0.25">
      <c r="A7" t="s">
        <v>98</v>
      </c>
      <c r="C7" s="192">
        <v>-35000000</v>
      </c>
      <c r="D7" s="193"/>
      <c r="F7" t="s">
        <v>210</v>
      </c>
      <c r="H7" s="192">
        <v>-35000000</v>
      </c>
      <c r="I7" s="193"/>
    </row>
    <row r="8" spans="1:11" x14ac:dyDescent="0.25">
      <c r="A8" t="s">
        <v>368</v>
      </c>
      <c r="C8" s="192"/>
      <c r="D8" s="193"/>
      <c r="F8" t="s">
        <v>368</v>
      </c>
      <c r="H8" s="192"/>
      <c r="I8" s="193"/>
    </row>
    <row r="9" spans="1:11" x14ac:dyDescent="0.25">
      <c r="A9" t="s">
        <v>369</v>
      </c>
      <c r="C9" s="192"/>
      <c r="D9" s="193"/>
      <c r="F9" t="s">
        <v>369</v>
      </c>
      <c r="H9" s="192"/>
      <c r="I9" s="193"/>
    </row>
    <row r="10" spans="1:11" x14ac:dyDescent="0.25">
      <c r="C10" s="194">
        <f>SUM(C5:C9)</f>
        <v>500000000</v>
      </c>
      <c r="D10" s="194">
        <f>SUM(D5:D9)</f>
        <v>535000000</v>
      </c>
      <c r="H10" s="194">
        <f t="shared" ref="H10:I10" si="0">SUM(H5:H9)</f>
        <v>500250000</v>
      </c>
      <c r="I10" s="194">
        <f t="shared" si="0"/>
        <v>535250000</v>
      </c>
    </row>
    <row r="12" spans="1:11" x14ac:dyDescent="0.25">
      <c r="A12" t="s">
        <v>32</v>
      </c>
      <c r="B12" s="195">
        <f>+B33</f>
        <v>0.45</v>
      </c>
      <c r="C12" s="196">
        <f>+C10*B12</f>
        <v>225000000</v>
      </c>
      <c r="D12" s="6">
        <f>C12</f>
        <v>225000000</v>
      </c>
      <c r="F12" t="s">
        <v>32</v>
      </c>
      <c r="G12" s="197">
        <f>+G33</f>
        <v>0.45</v>
      </c>
      <c r="H12" s="196">
        <f>+H10*G12</f>
        <v>225112500</v>
      </c>
      <c r="I12" s="6">
        <f>H12</f>
        <v>225112500</v>
      </c>
      <c r="J12" s="198"/>
    </row>
    <row r="13" spans="1:11" x14ac:dyDescent="0.25">
      <c r="A13" t="s">
        <v>33</v>
      </c>
      <c r="B13" s="195">
        <f>+B34</f>
        <v>0.55000000000000004</v>
      </c>
      <c r="C13" s="196">
        <f>+C10*B13</f>
        <v>275000000</v>
      </c>
      <c r="D13" s="6">
        <f>C13-C7</f>
        <v>310000000</v>
      </c>
      <c r="F13" t="s">
        <v>33</v>
      </c>
      <c r="G13" s="197">
        <f>+G34</f>
        <v>0.55000000000000004</v>
      </c>
      <c r="H13" s="196">
        <f>+H10*G13</f>
        <v>275137500</v>
      </c>
      <c r="I13" s="6">
        <f>H13-H7</f>
        <v>310137500</v>
      </c>
      <c r="J13" s="198"/>
    </row>
    <row r="14" spans="1:11" ht="15.75" thickBot="1" x14ac:dyDescent="0.3">
      <c r="A14" t="s">
        <v>13</v>
      </c>
      <c r="B14" s="15">
        <f>+B12+B13</f>
        <v>1</v>
      </c>
      <c r="C14" s="14">
        <f>+C12+C13</f>
        <v>500000000</v>
      </c>
      <c r="D14" s="14">
        <f>+D12+D13</f>
        <v>535000000</v>
      </c>
      <c r="F14" t="s">
        <v>13</v>
      </c>
      <c r="G14" s="15">
        <f>+G12+G13</f>
        <v>1</v>
      </c>
      <c r="H14" s="14">
        <f>+H12+H13</f>
        <v>500250000</v>
      </c>
      <c r="I14" s="14">
        <f>+I12+I13</f>
        <v>535250000</v>
      </c>
    </row>
    <row r="15" spans="1:11" ht="15.75" thickTop="1" x14ac:dyDescent="0.25">
      <c r="B15" s="68"/>
      <c r="C15" s="6"/>
      <c r="D15" s="6"/>
      <c r="G15" s="68"/>
      <c r="H15" s="6"/>
      <c r="I15" s="6"/>
    </row>
    <row r="16" spans="1:11" x14ac:dyDescent="0.25">
      <c r="A16" s="199" t="s">
        <v>215</v>
      </c>
      <c r="F16" s="22" t="s">
        <v>216</v>
      </c>
    </row>
    <row r="17" spans="1:14" x14ac:dyDescent="0.25">
      <c r="A17" s="22"/>
      <c r="B17" s="19" t="s">
        <v>8</v>
      </c>
      <c r="C17" s="19" t="s">
        <v>14</v>
      </c>
      <c r="D17" s="26"/>
      <c r="F17" s="22"/>
      <c r="G17" s="269" t="s">
        <v>8</v>
      </c>
      <c r="H17" s="19" t="s">
        <v>14</v>
      </c>
    </row>
    <row r="18" spans="1:14" x14ac:dyDescent="0.25">
      <c r="A18" t="s">
        <v>2</v>
      </c>
      <c r="B18" s="197">
        <f>B40</f>
        <v>2.2222222222222199E-2</v>
      </c>
      <c r="C18" s="234">
        <f>+B18*$C$12</f>
        <v>4999999.9999999944</v>
      </c>
      <c r="D18" s="200"/>
      <c r="F18" t="s">
        <v>2</v>
      </c>
      <c r="G18" s="197">
        <f t="shared" ref="G18:G25" si="1">G40</f>
        <v>2.2222222222222199E-2</v>
      </c>
      <c r="H18" s="234">
        <f>+G18*$H$12</f>
        <v>5002499.9999999944</v>
      </c>
    </row>
    <row r="19" spans="1:14" x14ac:dyDescent="0.25">
      <c r="A19" t="s">
        <v>3</v>
      </c>
      <c r="B19" s="197">
        <f t="shared" ref="B19:B26" si="2">B41</f>
        <v>3.111111111111111E-2</v>
      </c>
      <c r="C19" s="234">
        <f t="shared" ref="C19:C26" si="3">+B19*$C$12</f>
        <v>7000000</v>
      </c>
      <c r="D19" s="200"/>
      <c r="F19" t="s">
        <v>3</v>
      </c>
      <c r="G19" s="197">
        <f t="shared" si="1"/>
        <v>3.111111111111111E-2</v>
      </c>
      <c r="H19" s="234">
        <f t="shared" ref="H19:H26" si="4">+G19*$H$12</f>
        <v>7003500</v>
      </c>
    </row>
    <row r="20" spans="1:14" x14ac:dyDescent="0.25">
      <c r="A20" t="s">
        <v>286</v>
      </c>
      <c r="B20" s="197">
        <f t="shared" si="2"/>
        <v>0.42222222222222222</v>
      </c>
      <c r="C20" s="234">
        <f t="shared" si="3"/>
        <v>95000000</v>
      </c>
      <c r="D20" s="200"/>
      <c r="F20" t="s">
        <v>286</v>
      </c>
      <c r="G20" s="197">
        <f t="shared" si="1"/>
        <v>0.42222222222222222</v>
      </c>
      <c r="H20" s="234">
        <f t="shared" si="4"/>
        <v>95047500</v>
      </c>
    </row>
    <row r="21" spans="1:14" x14ac:dyDescent="0.25">
      <c r="A21" t="s">
        <v>287</v>
      </c>
      <c r="B21" s="197">
        <f t="shared" si="2"/>
        <v>0.2088888888888889</v>
      </c>
      <c r="C21" s="234">
        <f t="shared" si="3"/>
        <v>47000000</v>
      </c>
      <c r="D21" s="200"/>
      <c r="F21" t="s">
        <v>287</v>
      </c>
      <c r="G21" s="197">
        <f t="shared" si="1"/>
        <v>0.2088888888888889</v>
      </c>
      <c r="H21" s="234">
        <f t="shared" si="4"/>
        <v>47023500</v>
      </c>
    </row>
    <row r="22" spans="1:14" x14ac:dyDescent="0.25">
      <c r="A22" t="s">
        <v>288</v>
      </c>
      <c r="B22" s="197">
        <f t="shared" si="2"/>
        <v>0.26222222222222225</v>
      </c>
      <c r="C22" s="234">
        <f t="shared" si="3"/>
        <v>59000000.000000007</v>
      </c>
      <c r="D22" s="200"/>
      <c r="F22" t="s">
        <v>288</v>
      </c>
      <c r="G22" s="197">
        <f t="shared" si="1"/>
        <v>0.26222222222222225</v>
      </c>
      <c r="H22" s="234">
        <f t="shared" si="4"/>
        <v>59029500.000000007</v>
      </c>
    </row>
    <row r="23" spans="1:14" x14ac:dyDescent="0.25">
      <c r="A23" t="s">
        <v>289</v>
      </c>
      <c r="B23" s="197">
        <f t="shared" si="2"/>
        <v>2.2222222222222223E-2</v>
      </c>
      <c r="C23" s="234">
        <f>+B23*$C$12</f>
        <v>5000000</v>
      </c>
      <c r="D23" s="200"/>
      <c r="F23" t="s">
        <v>289</v>
      </c>
      <c r="G23" s="197">
        <f t="shared" si="1"/>
        <v>2.2222222222222223E-2</v>
      </c>
      <c r="H23" s="234">
        <f>+G23*$H$12</f>
        <v>5002500</v>
      </c>
    </row>
    <row r="24" spans="1:14" x14ac:dyDescent="0.25">
      <c r="A24" t="s">
        <v>290</v>
      </c>
      <c r="B24" s="197">
        <f t="shared" si="2"/>
        <v>8.8888888888888889E-3</v>
      </c>
      <c r="C24" s="234">
        <f t="shared" si="3"/>
        <v>2000000</v>
      </c>
      <c r="D24" s="200"/>
      <c r="F24" t="s">
        <v>290</v>
      </c>
      <c r="G24" s="197">
        <f t="shared" si="1"/>
        <v>8.8888888888888889E-3</v>
      </c>
      <c r="H24" s="234">
        <f t="shared" si="4"/>
        <v>2001000</v>
      </c>
    </row>
    <row r="25" spans="1:14" x14ac:dyDescent="0.25">
      <c r="A25" t="s">
        <v>291</v>
      </c>
      <c r="B25" s="197">
        <f t="shared" si="2"/>
        <v>4.4444444444444444E-3</v>
      </c>
      <c r="C25" s="234">
        <f>+B25*$C$12</f>
        <v>1000000</v>
      </c>
      <c r="D25" s="200"/>
      <c r="F25" t="s">
        <v>291</v>
      </c>
      <c r="G25" s="197">
        <f t="shared" si="1"/>
        <v>4.4444444444444444E-3</v>
      </c>
      <c r="H25" s="234">
        <f>+G25*$H$12</f>
        <v>1000500</v>
      </c>
    </row>
    <row r="26" spans="1:14" x14ac:dyDescent="0.25">
      <c r="A26" t="s">
        <v>292</v>
      </c>
      <c r="B26" s="197">
        <f t="shared" si="2"/>
        <v>1.7777777777777778E-2</v>
      </c>
      <c r="C26" s="234">
        <f t="shared" si="3"/>
        <v>4000000</v>
      </c>
      <c r="D26" s="200"/>
      <c r="F26" t="s">
        <v>292</v>
      </c>
      <c r="G26" s="197">
        <f t="shared" ref="G26" si="5">G48</f>
        <v>1.7777777777777778E-2</v>
      </c>
      <c r="H26" s="234">
        <f t="shared" si="4"/>
        <v>4002000</v>
      </c>
    </row>
    <row r="27" spans="1:14" ht="15.75" thickBot="1" x14ac:dyDescent="0.3">
      <c r="B27" s="15">
        <f>SUM(B18:B26)</f>
        <v>1</v>
      </c>
      <c r="C27" s="14">
        <f>SUM(C18:C26)</f>
        <v>225000000</v>
      </c>
      <c r="D27" s="281"/>
      <c r="G27" s="299">
        <f>SUM(G18:G26)</f>
        <v>1</v>
      </c>
      <c r="H27" s="298">
        <f>SUM(H18:H26)</f>
        <v>225112500</v>
      </c>
    </row>
    <row r="28" spans="1:14" ht="15.75" thickTop="1" x14ac:dyDescent="0.25"/>
    <row r="29" spans="1:14" ht="15.75" x14ac:dyDescent="0.25">
      <c r="A29" s="22" t="s">
        <v>197</v>
      </c>
      <c r="F29" s="22" t="s">
        <v>112</v>
      </c>
      <c r="K29" s="22" t="s">
        <v>184</v>
      </c>
    </row>
    <row r="30" spans="1:14" ht="30" x14ac:dyDescent="0.25">
      <c r="A30" s="22"/>
      <c r="B30" s="26" t="s">
        <v>97</v>
      </c>
      <c r="C30" s="19" t="s">
        <v>95</v>
      </c>
      <c r="D30" s="19" t="s">
        <v>96</v>
      </c>
      <c r="F30" s="22"/>
      <c r="G30" s="26" t="s">
        <v>97</v>
      </c>
      <c r="H30" s="19" t="s">
        <v>95</v>
      </c>
      <c r="I30" s="19" t="s">
        <v>96</v>
      </c>
      <c r="K30" s="22"/>
      <c r="L30" s="26" t="s">
        <v>97</v>
      </c>
      <c r="M30" s="19" t="s">
        <v>95</v>
      </c>
      <c r="N30" s="19" t="s">
        <v>96</v>
      </c>
    </row>
    <row r="31" spans="1:14" x14ac:dyDescent="0.25">
      <c r="A31" t="s">
        <v>104</v>
      </c>
      <c r="C31" s="196">
        <f>+C35</f>
        <v>500000000</v>
      </c>
      <c r="D31" s="196">
        <f>+D10</f>
        <v>535000000</v>
      </c>
      <c r="F31" t="s">
        <v>104</v>
      </c>
      <c r="H31" s="193">
        <f>+H35</f>
        <v>500000000</v>
      </c>
      <c r="I31" s="6">
        <f>+I35</f>
        <v>535000000</v>
      </c>
      <c r="K31" t="s">
        <v>104</v>
      </c>
      <c r="M31" s="193">
        <f>+M35</f>
        <v>500000000</v>
      </c>
      <c r="N31" s="6">
        <f>+N35</f>
        <v>535000000</v>
      </c>
    </row>
    <row r="33" spans="1:14" x14ac:dyDescent="0.25">
      <c r="A33" t="s">
        <v>11</v>
      </c>
      <c r="B33" s="195">
        <f>+C33/C35</f>
        <v>0.45</v>
      </c>
      <c r="C33" s="192">
        <v>225000000</v>
      </c>
      <c r="D33" s="193">
        <f>+C33</f>
        <v>225000000</v>
      </c>
      <c r="F33" t="s">
        <v>65</v>
      </c>
      <c r="G33" s="197">
        <f>+H33/H35</f>
        <v>0.45</v>
      </c>
      <c r="H33" s="193">
        <f>+C33</f>
        <v>225000000</v>
      </c>
      <c r="I33" s="193">
        <f>+D33</f>
        <v>225000000</v>
      </c>
      <c r="K33" t="s">
        <v>65</v>
      </c>
      <c r="L33" s="197">
        <f>+M33/M35</f>
        <v>0.45</v>
      </c>
      <c r="M33" s="193">
        <f>+H33</f>
        <v>225000000</v>
      </c>
      <c r="N33" s="193">
        <f>+I33</f>
        <v>225000000</v>
      </c>
    </row>
    <row r="34" spans="1:14" x14ac:dyDescent="0.25">
      <c r="A34" t="s">
        <v>12</v>
      </c>
      <c r="B34" s="195">
        <f>+C34/C35</f>
        <v>0.55000000000000004</v>
      </c>
      <c r="C34" s="192">
        <v>275000000</v>
      </c>
      <c r="D34" s="193">
        <f>+C34-C7</f>
        <v>310000000</v>
      </c>
      <c r="F34" t="s">
        <v>66</v>
      </c>
      <c r="G34" s="197">
        <f>+H34/H35</f>
        <v>0.55000000000000004</v>
      </c>
      <c r="H34" s="193">
        <f>+C34</f>
        <v>275000000</v>
      </c>
      <c r="I34" s="193">
        <f>+D34</f>
        <v>310000000</v>
      </c>
      <c r="K34" t="s">
        <v>66</v>
      </c>
      <c r="L34" s="197">
        <f>+M34/M35</f>
        <v>0.55000000000000004</v>
      </c>
      <c r="M34" s="193">
        <f>+H34</f>
        <v>275000000</v>
      </c>
      <c r="N34" s="193">
        <f>+I34</f>
        <v>310000000</v>
      </c>
    </row>
    <row r="35" spans="1:14" ht="15.75" thickBot="1" x14ac:dyDescent="0.3">
      <c r="A35" t="s">
        <v>52</v>
      </c>
      <c r="B35" s="15">
        <f>+B33+B34</f>
        <v>1</v>
      </c>
      <c r="C35" s="14">
        <f>+C33+C34</f>
        <v>500000000</v>
      </c>
      <c r="D35" s="14">
        <f>+D33+D34</f>
        <v>535000000</v>
      </c>
      <c r="F35" t="s">
        <v>52</v>
      </c>
      <c r="G35" s="15">
        <f>+G33+G34</f>
        <v>1</v>
      </c>
      <c r="H35" s="14">
        <f>+H33+H34</f>
        <v>500000000</v>
      </c>
      <c r="I35" s="14">
        <f>+I33+I34</f>
        <v>535000000</v>
      </c>
      <c r="K35" t="s">
        <v>52</v>
      </c>
      <c r="L35" s="15">
        <f>+L33+L34</f>
        <v>1</v>
      </c>
      <c r="M35" s="14">
        <f>+M33+M34</f>
        <v>500000000</v>
      </c>
      <c r="N35" s="14">
        <f>+N33+N34</f>
        <v>535000000</v>
      </c>
    </row>
    <row r="36" spans="1:14" ht="15.75" thickTop="1" x14ac:dyDescent="0.25">
      <c r="B36" s="68"/>
      <c r="C36" s="6"/>
      <c r="D36" s="6"/>
      <c r="G36" s="68"/>
      <c r="H36" s="6"/>
      <c r="I36" s="6"/>
      <c r="L36" s="68"/>
      <c r="M36" s="6"/>
      <c r="N36" s="6"/>
    </row>
    <row r="38" spans="1:14" x14ac:dyDescent="0.25">
      <c r="A38" s="22" t="s">
        <v>107</v>
      </c>
      <c r="F38" s="22" t="s">
        <v>113</v>
      </c>
      <c r="K38" s="22" t="s">
        <v>370</v>
      </c>
    </row>
    <row r="39" spans="1:14" x14ac:dyDescent="0.25">
      <c r="A39" s="22"/>
      <c r="B39" s="19" t="s">
        <v>8</v>
      </c>
      <c r="C39" s="19" t="s">
        <v>14</v>
      </c>
      <c r="D39" s="26" t="s">
        <v>281</v>
      </c>
      <c r="F39" s="22"/>
      <c r="G39" s="19" t="s">
        <v>9</v>
      </c>
      <c r="H39" s="19" t="s">
        <v>14</v>
      </c>
      <c r="I39" s="26" t="s">
        <v>281</v>
      </c>
      <c r="J39" s="13"/>
      <c r="K39" s="22"/>
      <c r="L39" s="19" t="s">
        <v>9</v>
      </c>
      <c r="M39" s="19" t="s">
        <v>14</v>
      </c>
      <c r="N39" s="26" t="s">
        <v>17</v>
      </c>
    </row>
    <row r="40" spans="1:14" x14ac:dyDescent="0.25">
      <c r="A40" t="s">
        <v>2</v>
      </c>
      <c r="B40" s="201">
        <v>2.2222222222222199E-2</v>
      </c>
      <c r="C40" s="234">
        <f>+B40*$C$33</f>
        <v>4999999.9999999944</v>
      </c>
      <c r="D40" s="205">
        <v>0.10299999999999999</v>
      </c>
      <c r="E40" s="196"/>
      <c r="F40" t="s">
        <v>2</v>
      </c>
      <c r="G40" s="197">
        <f>+B40</f>
        <v>2.2222222222222199E-2</v>
      </c>
      <c r="H40" s="234">
        <f>+G40*$H$33</f>
        <v>4999999.9999999944</v>
      </c>
      <c r="I40" s="207">
        <f>+D40</f>
        <v>0.10299999999999999</v>
      </c>
      <c r="J40" s="202"/>
      <c r="K40" t="s">
        <v>2</v>
      </c>
      <c r="L40" s="197">
        <f>+G40</f>
        <v>2.2222222222222199E-2</v>
      </c>
      <c r="M40" s="196">
        <f>+L40*$H$33</f>
        <v>4999999.9999999944</v>
      </c>
      <c r="N40" s="202">
        <f t="shared" ref="N40:N44" si="6">+I40</f>
        <v>0.10299999999999999</v>
      </c>
    </row>
    <row r="41" spans="1:14" x14ac:dyDescent="0.25">
      <c r="A41" t="s">
        <v>3</v>
      </c>
      <c r="B41" s="201">
        <v>3.111111111111111E-2</v>
      </c>
      <c r="C41" s="234">
        <f t="shared" ref="C41:C48" si="7">+B41*$C$33</f>
        <v>7000000</v>
      </c>
      <c r="D41" s="205">
        <v>0.125</v>
      </c>
      <c r="E41" s="196"/>
      <c r="F41" t="s">
        <v>3</v>
      </c>
      <c r="G41" s="197">
        <f t="shared" ref="G41:G46" si="8">+B41</f>
        <v>3.111111111111111E-2</v>
      </c>
      <c r="H41" s="234">
        <f t="shared" ref="H41:H46" si="9">+G41*$H$33</f>
        <v>7000000</v>
      </c>
      <c r="I41" s="207">
        <f t="shared" ref="I41:I48" si="10">+D41</f>
        <v>0.125</v>
      </c>
      <c r="J41" s="202"/>
      <c r="K41" t="s">
        <v>3</v>
      </c>
      <c r="L41" s="197">
        <f t="shared" ref="L41:L44" si="11">+G41</f>
        <v>3.111111111111111E-2</v>
      </c>
      <c r="M41" s="196">
        <f t="shared" ref="M41:M44" si="12">+L41*$H$33</f>
        <v>7000000</v>
      </c>
      <c r="N41" s="202">
        <f t="shared" si="6"/>
        <v>0.125</v>
      </c>
    </row>
    <row r="42" spans="1:14" x14ac:dyDescent="0.25">
      <c r="A42" t="s">
        <v>286</v>
      </c>
      <c r="B42" s="352">
        <v>0.42222222222222222</v>
      </c>
      <c r="C42" s="353">
        <f>+B42*$C$33</f>
        <v>95000000</v>
      </c>
      <c r="D42" s="434">
        <v>8.6999999999999994E-2</v>
      </c>
      <c r="E42" s="196"/>
      <c r="F42" t="s">
        <v>286</v>
      </c>
      <c r="G42" s="354">
        <f t="shared" si="8"/>
        <v>0.42222222222222222</v>
      </c>
      <c r="H42" s="353">
        <f t="shared" si="9"/>
        <v>95000000</v>
      </c>
      <c r="I42" s="318">
        <f t="shared" si="10"/>
        <v>8.6999999999999994E-2</v>
      </c>
      <c r="J42" s="202"/>
      <c r="K42" t="s">
        <v>286</v>
      </c>
      <c r="L42" s="354">
        <f t="shared" si="11"/>
        <v>0.42222222222222222</v>
      </c>
      <c r="M42" s="355">
        <f t="shared" si="12"/>
        <v>95000000</v>
      </c>
      <c r="N42" s="297">
        <f t="shared" si="6"/>
        <v>8.6999999999999994E-2</v>
      </c>
    </row>
    <row r="43" spans="1:14" x14ac:dyDescent="0.25">
      <c r="A43" t="s">
        <v>287</v>
      </c>
      <c r="B43" s="352">
        <v>0.2088888888888889</v>
      </c>
      <c r="C43" s="353">
        <f t="shared" si="7"/>
        <v>47000000</v>
      </c>
      <c r="D43" s="434">
        <v>0.122</v>
      </c>
      <c r="E43" s="196"/>
      <c r="F43" t="s">
        <v>287</v>
      </c>
      <c r="G43" s="354">
        <f t="shared" si="8"/>
        <v>0.2088888888888889</v>
      </c>
      <c r="H43" s="353">
        <f>+G43*$H$33</f>
        <v>47000000</v>
      </c>
      <c r="I43" s="318">
        <f t="shared" si="10"/>
        <v>0.122</v>
      </c>
      <c r="J43" s="202"/>
      <c r="K43" t="s">
        <v>287</v>
      </c>
      <c r="L43" s="354">
        <f t="shared" si="11"/>
        <v>0.2088888888888889</v>
      </c>
      <c r="M43" s="355">
        <f t="shared" si="12"/>
        <v>47000000</v>
      </c>
      <c r="N43" s="297">
        <f t="shared" si="6"/>
        <v>0.122</v>
      </c>
    </row>
    <row r="44" spans="1:14" x14ac:dyDescent="0.25">
      <c r="A44" t="s">
        <v>288</v>
      </c>
      <c r="B44" s="352">
        <v>0.26222222222222225</v>
      </c>
      <c r="C44" s="353">
        <f t="shared" si="7"/>
        <v>59000000.000000007</v>
      </c>
      <c r="D44" s="434">
        <v>0.182</v>
      </c>
      <c r="E44" s="196"/>
      <c r="F44" t="s">
        <v>288</v>
      </c>
      <c r="G44" s="354">
        <f t="shared" si="8"/>
        <v>0.26222222222222225</v>
      </c>
      <c r="H44" s="353">
        <f t="shared" si="9"/>
        <v>59000000.000000007</v>
      </c>
      <c r="I44" s="318">
        <f t="shared" si="10"/>
        <v>0.182</v>
      </c>
      <c r="J44" s="202"/>
      <c r="K44" t="s">
        <v>288</v>
      </c>
      <c r="L44" s="354">
        <f t="shared" si="11"/>
        <v>0.26222222222222225</v>
      </c>
      <c r="M44" s="355">
        <f t="shared" si="12"/>
        <v>59000000.000000007</v>
      </c>
      <c r="N44" s="297">
        <f t="shared" si="6"/>
        <v>0.182</v>
      </c>
    </row>
    <row r="45" spans="1:14" x14ac:dyDescent="0.25">
      <c r="A45" t="s">
        <v>289</v>
      </c>
      <c r="B45" s="352">
        <v>2.2222222222222223E-2</v>
      </c>
      <c r="C45" s="353">
        <f>+B45*$C$33</f>
        <v>5000000</v>
      </c>
      <c r="D45" s="434">
        <v>8.6999999999999994E-2</v>
      </c>
      <c r="E45" s="196"/>
      <c r="F45" t="s">
        <v>289</v>
      </c>
      <c r="G45" s="354">
        <f>+B45</f>
        <v>2.2222222222222223E-2</v>
      </c>
      <c r="H45" s="353">
        <f>+G45*$H$33</f>
        <v>5000000</v>
      </c>
      <c r="I45" s="318">
        <f>+D45</f>
        <v>8.6999999999999994E-2</v>
      </c>
      <c r="J45" s="202"/>
      <c r="K45" t="s">
        <v>289</v>
      </c>
      <c r="L45" s="354">
        <f>+G45</f>
        <v>2.2222222222222223E-2</v>
      </c>
      <c r="M45" s="355">
        <f>+L45*$H$33</f>
        <v>5000000</v>
      </c>
      <c r="N45" s="297">
        <f>+I45</f>
        <v>8.6999999999999994E-2</v>
      </c>
    </row>
    <row r="46" spans="1:14" x14ac:dyDescent="0.25">
      <c r="A46" t="s">
        <v>290</v>
      </c>
      <c r="B46" s="352">
        <v>8.8888888888888889E-3</v>
      </c>
      <c r="C46" s="353">
        <f t="shared" si="7"/>
        <v>2000000</v>
      </c>
      <c r="D46" s="434">
        <v>0.122</v>
      </c>
      <c r="E46" s="196"/>
      <c r="F46" t="s">
        <v>290</v>
      </c>
      <c r="G46" s="354">
        <f t="shared" si="8"/>
        <v>8.8888888888888889E-3</v>
      </c>
      <c r="H46" s="353">
        <f t="shared" si="9"/>
        <v>2000000</v>
      </c>
      <c r="I46" s="318">
        <f t="shared" si="10"/>
        <v>0.122</v>
      </c>
      <c r="J46" s="202"/>
      <c r="K46" t="s">
        <v>290</v>
      </c>
      <c r="L46" s="354">
        <f t="shared" ref="L46:L48" si="13">+G46</f>
        <v>8.8888888888888889E-3</v>
      </c>
      <c r="M46" s="355">
        <f t="shared" ref="M46:M48" si="14">+L46*$H$33</f>
        <v>2000000</v>
      </c>
      <c r="N46" s="297">
        <f t="shared" ref="N46:N48" si="15">+I46</f>
        <v>0.122</v>
      </c>
    </row>
    <row r="47" spans="1:14" x14ac:dyDescent="0.25">
      <c r="A47" t="s">
        <v>291</v>
      </c>
      <c r="B47" s="352">
        <v>4.4444444444444444E-3</v>
      </c>
      <c r="C47" s="353">
        <f>+B47*$C$33</f>
        <v>1000000</v>
      </c>
      <c r="D47" s="434">
        <v>0.28599999999999998</v>
      </c>
      <c r="E47" s="196"/>
      <c r="F47" t="s">
        <v>291</v>
      </c>
      <c r="G47" s="354">
        <f>+B47</f>
        <v>4.4444444444444444E-3</v>
      </c>
      <c r="H47" s="353">
        <f>+G47*$H$33</f>
        <v>1000000</v>
      </c>
      <c r="I47" s="318">
        <f>+D47</f>
        <v>0.28599999999999998</v>
      </c>
      <c r="J47" s="202"/>
      <c r="K47" t="s">
        <v>291</v>
      </c>
      <c r="L47" s="354">
        <f>+G47</f>
        <v>4.4444444444444444E-3</v>
      </c>
      <c r="M47" s="355">
        <f>+L47*$H$33</f>
        <v>1000000</v>
      </c>
      <c r="N47" s="297">
        <f>+I47</f>
        <v>0.28599999999999998</v>
      </c>
    </row>
    <row r="48" spans="1:14" x14ac:dyDescent="0.25">
      <c r="A48" t="s">
        <v>292</v>
      </c>
      <c r="B48" s="352">
        <v>1.7777777777777778E-2</v>
      </c>
      <c r="C48" s="353">
        <f t="shared" si="7"/>
        <v>4000000</v>
      </c>
      <c r="D48" s="434">
        <v>2.8000000000000001E-2</v>
      </c>
      <c r="E48" s="196"/>
      <c r="F48" t="s">
        <v>292</v>
      </c>
      <c r="G48" s="354">
        <f>+B48</f>
        <v>1.7777777777777778E-2</v>
      </c>
      <c r="H48" s="353">
        <f>+G48*$H$33</f>
        <v>4000000</v>
      </c>
      <c r="I48" s="318">
        <f t="shared" si="10"/>
        <v>2.8000000000000001E-2</v>
      </c>
      <c r="J48" s="202"/>
      <c r="K48" t="s">
        <v>292</v>
      </c>
      <c r="L48" s="354">
        <f t="shared" si="13"/>
        <v>1.7777777777777778E-2</v>
      </c>
      <c r="M48" s="355">
        <f t="shared" si="14"/>
        <v>4000000</v>
      </c>
      <c r="N48" s="297">
        <f t="shared" si="15"/>
        <v>2.8000000000000001E-2</v>
      </c>
    </row>
    <row r="49" spans="1:13" ht="15.75" thickBot="1" x14ac:dyDescent="0.3">
      <c r="B49" s="15">
        <f>SUM(B40:B48)</f>
        <v>1</v>
      </c>
      <c r="C49" s="14">
        <f>SUM(C40:C48)</f>
        <v>225000000</v>
      </c>
      <c r="D49" s="68"/>
      <c r="E49" s="6"/>
      <c r="G49" s="15">
        <f>SUM(G40:G48)</f>
        <v>1</v>
      </c>
      <c r="H49" s="298">
        <f>SUM(H40:H48)</f>
        <v>225000000</v>
      </c>
      <c r="L49" s="299">
        <f>SUM(L40:L48)</f>
        <v>1</v>
      </c>
      <c r="M49" s="298">
        <f>SUM(M40:M48)</f>
        <v>225000000</v>
      </c>
    </row>
    <row r="50" spans="1:13" ht="15.75" thickTop="1" x14ac:dyDescent="0.25"/>
    <row r="51" spans="1:13" x14ac:dyDescent="0.25">
      <c r="A51" s="22" t="s">
        <v>108</v>
      </c>
      <c r="F51" s="22" t="s">
        <v>114</v>
      </c>
      <c r="K51" s="22"/>
    </row>
    <row r="52" spans="1:13" x14ac:dyDescent="0.25">
      <c r="A52" s="10"/>
      <c r="B52" s="19" t="s">
        <v>53</v>
      </c>
      <c r="D52" s="19"/>
      <c r="F52" s="10"/>
      <c r="G52" s="19" t="s">
        <v>53</v>
      </c>
      <c r="J52" s="10"/>
      <c r="K52" s="19"/>
    </row>
    <row r="53" spans="1:13" x14ac:dyDescent="0.25">
      <c r="A53" s="10" t="s">
        <v>106</v>
      </c>
      <c r="B53" s="19" t="s">
        <v>10</v>
      </c>
      <c r="C53" s="213"/>
      <c r="D53" s="19"/>
      <c r="F53" s="10" t="s">
        <v>106</v>
      </c>
      <c r="G53" s="19" t="s">
        <v>10</v>
      </c>
      <c r="J53" s="10"/>
      <c r="K53" s="19"/>
    </row>
    <row r="54" spans="1:13" x14ac:dyDescent="0.25">
      <c r="A54" t="s">
        <v>68</v>
      </c>
      <c r="B54" s="9">
        <f>+B102</f>
        <v>3.2572599762994731E-2</v>
      </c>
      <c r="D54" s="9"/>
      <c r="E54" s="5"/>
      <c r="F54" t="s">
        <v>68</v>
      </c>
      <c r="G54" s="454">
        <f>+G102</f>
        <v>3.3122232598371396E-2</v>
      </c>
      <c r="H54" s="203"/>
      <c r="K54" s="9"/>
      <c r="M54" s="204"/>
    </row>
    <row r="55" spans="1:13" ht="17.25" x14ac:dyDescent="0.25">
      <c r="A55" t="s">
        <v>69</v>
      </c>
      <c r="B55" s="9">
        <f>+B103</f>
        <v>2.8624405852328703E-2</v>
      </c>
      <c r="D55" s="9"/>
      <c r="F55" t="s">
        <v>204</v>
      </c>
      <c r="G55" s="9">
        <f>+G103</f>
        <v>2.8624405852328703E-2</v>
      </c>
      <c r="H55" s="51"/>
      <c r="K55" s="9"/>
      <c r="M55" s="51"/>
    </row>
    <row r="56" spans="1:13" x14ac:dyDescent="0.25">
      <c r="A56" t="s">
        <v>19</v>
      </c>
      <c r="B56" s="205">
        <v>0.10589999999999999</v>
      </c>
      <c r="D56" s="206"/>
      <c r="F56" t="s">
        <v>19</v>
      </c>
      <c r="G56" s="207">
        <f>+B56</f>
        <v>0.10589999999999999</v>
      </c>
      <c r="H56" s="196"/>
      <c r="K56" s="206"/>
      <c r="M56" s="193"/>
    </row>
    <row r="57" spans="1:13" x14ac:dyDescent="0.25">
      <c r="A57" t="s">
        <v>20</v>
      </c>
      <c r="B57" s="205">
        <v>7.8700000000000006E-2</v>
      </c>
      <c r="D57" s="206"/>
      <c r="F57" t="s">
        <v>20</v>
      </c>
      <c r="G57" s="207">
        <f>+B57</f>
        <v>7.8700000000000006E-2</v>
      </c>
      <c r="I57" s="9"/>
      <c r="K57" s="206"/>
    </row>
    <row r="58" spans="1:13" ht="17.25" x14ac:dyDescent="0.25">
      <c r="F58" t="s">
        <v>205</v>
      </c>
      <c r="G58" s="205">
        <v>8.7099999999999997E-2</v>
      </c>
      <c r="I58" t="s">
        <v>70</v>
      </c>
      <c r="K58" s="206"/>
    </row>
    <row r="59" spans="1:13" ht="17.25" x14ac:dyDescent="0.25">
      <c r="C59" s="6"/>
      <c r="D59" s="196"/>
      <c r="F59" t="s">
        <v>206</v>
      </c>
      <c r="G59" s="208">
        <f>+H59/H14</f>
        <v>8.8359370314842575E-2</v>
      </c>
      <c r="H59" s="209">
        <v>44201775</v>
      </c>
      <c r="I59" t="s">
        <v>82</v>
      </c>
      <c r="K59" s="208"/>
      <c r="L59" s="5"/>
    </row>
    <row r="60" spans="1:13" x14ac:dyDescent="0.25">
      <c r="A60" s="406" t="s">
        <v>314</v>
      </c>
      <c r="B60" s="435">
        <v>0.03</v>
      </c>
      <c r="C60" s="6"/>
      <c r="D60" s="196"/>
      <c r="F60" s="406" t="s">
        <v>323</v>
      </c>
      <c r="G60" s="469">
        <v>0.03</v>
      </c>
      <c r="H60" s="209"/>
      <c r="J60" s="32"/>
      <c r="K60" s="6"/>
    </row>
    <row r="61" spans="1:13" x14ac:dyDescent="0.25">
      <c r="A61" s="406" t="s">
        <v>442</v>
      </c>
      <c r="B61" s="435">
        <v>2.9999999999999997E-4</v>
      </c>
      <c r="C61" s="51"/>
      <c r="D61" s="196"/>
      <c r="F61" s="406" t="s">
        <v>448</v>
      </c>
      <c r="G61" s="470">
        <v>6.4999999999999997E-4</v>
      </c>
      <c r="I61" s="58"/>
      <c r="J61" s="433"/>
      <c r="K61" s="6"/>
    </row>
    <row r="62" spans="1:13" x14ac:dyDescent="0.25">
      <c r="B62" s="9"/>
      <c r="C62" s="210"/>
      <c r="D62" s="196"/>
      <c r="E62" s="5"/>
      <c r="J62" s="58"/>
      <c r="K62" s="344"/>
    </row>
    <row r="63" spans="1:13" ht="18.75" x14ac:dyDescent="0.3">
      <c r="A63" s="21" t="s">
        <v>21</v>
      </c>
      <c r="B63" s="207"/>
      <c r="C63" s="58"/>
      <c r="D63" s="207"/>
      <c r="E63" s="5"/>
      <c r="F63" s="21" t="s">
        <v>23</v>
      </c>
      <c r="G63" s="9"/>
      <c r="H63" s="29"/>
      <c r="K63" s="344"/>
    </row>
    <row r="64" spans="1:13" x14ac:dyDescent="0.25">
      <c r="F64" s="196"/>
      <c r="G64" s="207"/>
      <c r="H64" s="29"/>
      <c r="I64" s="211"/>
    </row>
    <row r="65" spans="1:16" x14ac:dyDescent="0.25">
      <c r="A65" s="22" t="s">
        <v>109</v>
      </c>
      <c r="F65" s="22" t="s">
        <v>115</v>
      </c>
      <c r="I65" s="212"/>
    </row>
    <row r="66" spans="1:16" x14ac:dyDescent="0.25">
      <c r="A66" s="22"/>
      <c r="B66" s="26" t="s">
        <v>36</v>
      </c>
      <c r="C66" s="213" t="s">
        <v>14</v>
      </c>
      <c r="D66" s="214" t="s">
        <v>37</v>
      </c>
      <c r="F66" s="22"/>
      <c r="G66" s="19" t="s">
        <v>36</v>
      </c>
      <c r="H66" s="215" t="s">
        <v>14</v>
      </c>
      <c r="I66" s="214" t="s">
        <v>37</v>
      </c>
      <c r="J66" s="10"/>
    </row>
    <row r="67" spans="1:16" ht="17.25" x14ac:dyDescent="0.25">
      <c r="A67" t="s">
        <v>201</v>
      </c>
      <c r="B67" s="206">
        <f>+D67/C67</f>
        <v>0.65</v>
      </c>
      <c r="C67" s="196">
        <f>+D6</f>
        <v>8000000</v>
      </c>
      <c r="D67" s="216">
        <v>5200000</v>
      </c>
      <c r="F67" t="s">
        <v>199</v>
      </c>
      <c r="G67" s="206">
        <f>+I67/H67</f>
        <v>0.65</v>
      </c>
      <c r="H67" s="196">
        <f>+I6</f>
        <v>8000000</v>
      </c>
      <c r="I67" s="216">
        <v>5200000</v>
      </c>
      <c r="J67" s="246"/>
      <c r="K67" s="5"/>
    </row>
    <row r="68" spans="1:16" x14ac:dyDescent="0.25">
      <c r="A68" s="296" t="s">
        <v>307</v>
      </c>
      <c r="B68" s="468">
        <f>B61+B60</f>
        <v>3.0300000000000001E-2</v>
      </c>
      <c r="C68" s="196">
        <f>+D5</f>
        <v>527000000</v>
      </c>
      <c r="D68" s="351">
        <f>B68*C68</f>
        <v>15968100</v>
      </c>
      <c r="F68" s="296" t="s">
        <v>307</v>
      </c>
      <c r="G68" s="207">
        <f>+I68/H68</f>
        <v>3.0800000000000001E-2</v>
      </c>
      <c r="H68" s="196">
        <f>+I5</f>
        <v>527250000</v>
      </c>
      <c r="I68" s="346">
        <v>16239300</v>
      </c>
      <c r="J68" s="246"/>
      <c r="K68" s="245"/>
      <c r="L68" s="218"/>
      <c r="M68" s="218"/>
    </row>
    <row r="69" spans="1:16" ht="17.25" x14ac:dyDescent="0.25">
      <c r="A69" t="s">
        <v>202</v>
      </c>
      <c r="B69" s="207"/>
      <c r="C69" s="196"/>
      <c r="D69" s="217">
        <v>1850000</v>
      </c>
      <c r="F69" t="s">
        <v>207</v>
      </c>
      <c r="G69" s="207"/>
      <c r="H69" s="196"/>
      <c r="I69" s="217">
        <v>1980000</v>
      </c>
      <c r="J69" s="246"/>
      <c r="K69" s="218"/>
      <c r="L69" s="218"/>
      <c r="M69" s="218"/>
    </row>
    <row r="70" spans="1:16" x14ac:dyDescent="0.25">
      <c r="A70" t="s">
        <v>39</v>
      </c>
      <c r="B70" s="9">
        <f>+B57</f>
        <v>7.8700000000000006E-2</v>
      </c>
      <c r="C70" s="6">
        <f>+C12</f>
        <v>225000000</v>
      </c>
      <c r="D70" s="218">
        <f>+C70*B70</f>
        <v>17707500</v>
      </c>
      <c r="F70" t="s">
        <v>39</v>
      </c>
      <c r="G70" s="9">
        <f>+G59</f>
        <v>8.8359370314842575E-2</v>
      </c>
      <c r="H70" s="6">
        <f>+H12</f>
        <v>225112500</v>
      </c>
      <c r="I70" s="218">
        <f>+H70*G70</f>
        <v>19890798.75</v>
      </c>
      <c r="J70" s="246"/>
      <c r="K70" s="218"/>
      <c r="L70" s="218"/>
      <c r="M70" s="218"/>
    </row>
    <row r="71" spans="1:16" x14ac:dyDescent="0.25">
      <c r="A71" t="s">
        <v>99</v>
      </c>
      <c r="B71" s="9">
        <f>+B57</f>
        <v>7.8700000000000006E-2</v>
      </c>
      <c r="C71" s="6">
        <f>+C13</f>
        <v>275000000</v>
      </c>
      <c r="D71" s="218">
        <f>+C71*B71</f>
        <v>21642500</v>
      </c>
      <c r="F71" t="s">
        <v>38</v>
      </c>
      <c r="G71" s="9">
        <f>+G59</f>
        <v>8.8359370314842575E-2</v>
      </c>
      <c r="H71" s="6">
        <f>+H13</f>
        <v>275137500</v>
      </c>
      <c r="I71" s="218">
        <f>+H71*G71</f>
        <v>24310976.25</v>
      </c>
      <c r="J71" s="246"/>
      <c r="K71" s="218"/>
      <c r="L71" s="218"/>
      <c r="M71" s="218"/>
    </row>
    <row r="72" spans="1:16" ht="17.25" x14ac:dyDescent="0.25">
      <c r="A72" t="s">
        <v>326</v>
      </c>
      <c r="B72" s="9"/>
      <c r="C72" s="6"/>
      <c r="D72" s="356">
        <f>+'RPP Settlement &amp; 1st TU'!K16</f>
        <v>2167665.0533261839</v>
      </c>
      <c r="E72" s="5"/>
      <c r="F72" t="s">
        <v>451</v>
      </c>
      <c r="G72" s="9"/>
      <c r="H72" s="6"/>
      <c r="I72" s="356">
        <f>+D72</f>
        <v>2167665.0533261839</v>
      </c>
      <c r="J72" s="246"/>
      <c r="L72" s="218"/>
      <c r="M72" s="218"/>
    </row>
    <row r="73" spans="1:16" ht="17.25" x14ac:dyDescent="0.25">
      <c r="A73" t="s">
        <v>203</v>
      </c>
      <c r="B73" s="9">
        <f>+D73/C73</f>
        <v>-0.62071240441801245</v>
      </c>
      <c r="C73" s="6">
        <f>+D6</f>
        <v>8000000</v>
      </c>
      <c r="D73" s="217">
        <v>-4965699.2353440998</v>
      </c>
      <c r="F73" t="s">
        <v>198</v>
      </c>
      <c r="G73" s="9">
        <f>+I73/H73</f>
        <v>-0.62071240441801245</v>
      </c>
      <c r="H73" s="6">
        <f>+I6</f>
        <v>8000000</v>
      </c>
      <c r="I73" s="217">
        <v>-4965699.2353440998</v>
      </c>
      <c r="J73" s="246"/>
      <c r="K73" s="218"/>
      <c r="L73" s="218"/>
      <c r="M73" s="218"/>
    </row>
    <row r="74" spans="1:16" x14ac:dyDescent="0.25">
      <c r="G74" s="206"/>
      <c r="H74" s="6"/>
      <c r="I74" s="218"/>
      <c r="J74" s="246"/>
      <c r="K74" s="218"/>
      <c r="L74" s="218"/>
      <c r="M74" s="218"/>
    </row>
    <row r="75" spans="1:16" ht="15.75" thickBot="1" x14ac:dyDescent="0.3">
      <c r="A75" t="s">
        <v>46</v>
      </c>
      <c r="B75" s="9"/>
      <c r="C75" s="6"/>
      <c r="D75" s="282">
        <f>SUM(D67:D73)</f>
        <v>59570065.817982085</v>
      </c>
      <c r="F75" t="s">
        <v>200</v>
      </c>
      <c r="G75" s="9"/>
      <c r="H75" s="6"/>
      <c r="I75" s="282">
        <f>SUM(I67:I74)</f>
        <v>64823040.817982092</v>
      </c>
      <c r="J75" s="220"/>
      <c r="K75" s="220"/>
      <c r="L75" s="220"/>
      <c r="M75" s="220"/>
    </row>
    <row r="76" spans="1:16" ht="15.75" thickTop="1" x14ac:dyDescent="0.25">
      <c r="B76" s="437"/>
      <c r="C76" s="437" t="s">
        <v>322</v>
      </c>
      <c r="D76" s="436">
        <f>(+D67+D68+D73)/D14</f>
        <v>3.0284861242347475E-2</v>
      </c>
      <c r="E76" s="405"/>
      <c r="G76" s="437"/>
      <c r="H76" s="437" t="s">
        <v>322</v>
      </c>
      <c r="I76" s="436">
        <f>(+I67+I68+I73)/I14</f>
        <v>3.0777395169838205E-2</v>
      </c>
      <c r="J76" s="219"/>
      <c r="K76" s="220"/>
      <c r="L76" s="220"/>
      <c r="M76" s="220"/>
    </row>
    <row r="77" spans="1:16" ht="18.75" x14ac:dyDescent="0.3">
      <c r="A77" s="21" t="s">
        <v>119</v>
      </c>
      <c r="F77" s="21" t="s">
        <v>120</v>
      </c>
      <c r="I77" s="5"/>
      <c r="K77" s="21" t="s">
        <v>430</v>
      </c>
    </row>
    <row r="78" spans="1:16" ht="18.75" x14ac:dyDescent="0.3">
      <c r="F78" s="21"/>
    </row>
    <row r="79" spans="1:16" x14ac:dyDescent="0.25">
      <c r="A79" s="22" t="s">
        <v>110</v>
      </c>
      <c r="F79" s="22" t="s">
        <v>116</v>
      </c>
      <c r="K79" s="22" t="s">
        <v>371</v>
      </c>
    </row>
    <row r="80" spans="1:16" x14ac:dyDescent="0.25">
      <c r="B80" s="26" t="s">
        <v>281</v>
      </c>
      <c r="C80" s="19" t="s">
        <v>14</v>
      </c>
      <c r="D80" s="19" t="s">
        <v>37</v>
      </c>
      <c r="F80" s="22"/>
      <c r="G80" s="26" t="s">
        <v>281</v>
      </c>
      <c r="H80" s="19" t="s">
        <v>14</v>
      </c>
      <c r="I80" s="19" t="s">
        <v>37</v>
      </c>
      <c r="K80" s="22"/>
      <c r="L80" s="26" t="s">
        <v>281</v>
      </c>
      <c r="M80" s="19" t="s">
        <v>14</v>
      </c>
      <c r="N80" s="19" t="s">
        <v>166</v>
      </c>
      <c r="O80" s="10" t="s">
        <v>186</v>
      </c>
      <c r="P80" s="10" t="s">
        <v>185</v>
      </c>
    </row>
    <row r="81" spans="1:16" x14ac:dyDescent="0.25">
      <c r="A81" t="s">
        <v>2</v>
      </c>
      <c r="B81" s="206">
        <f t="shared" ref="B81:B89" si="16">+D40</f>
        <v>0.10299999999999999</v>
      </c>
      <c r="C81" s="193">
        <f t="shared" ref="C81:C89" si="17">+C40</f>
        <v>4999999.9999999944</v>
      </c>
      <c r="D81" s="23">
        <f t="shared" ref="D81:D89" si="18">+C81*B81</f>
        <v>514999.99999999942</v>
      </c>
      <c r="F81" t="s">
        <v>2</v>
      </c>
      <c r="G81" s="207">
        <f>+I40</f>
        <v>0.10299999999999999</v>
      </c>
      <c r="H81" s="196">
        <f t="shared" ref="H81:H89" si="19">+H40</f>
        <v>4999999.9999999944</v>
      </c>
      <c r="I81" s="23">
        <f>+H81*G81</f>
        <v>514999.99999999942</v>
      </c>
      <c r="J81" s="23"/>
      <c r="K81" t="s">
        <v>2</v>
      </c>
      <c r="L81" s="207">
        <f t="shared" ref="L81:L89" si="20">+N40</f>
        <v>0.10299999999999999</v>
      </c>
      <c r="M81" s="196">
        <f t="shared" ref="M81:M89" si="21">+M40</f>
        <v>4999999.9999999944</v>
      </c>
      <c r="N81" s="23">
        <f>+M81*L81</f>
        <v>514999.99999999942</v>
      </c>
      <c r="O81" s="23">
        <f>N81/2</f>
        <v>257499.99999999971</v>
      </c>
      <c r="P81" s="23">
        <f>O81</f>
        <v>257499.99999999971</v>
      </c>
    </row>
    <row r="82" spans="1:16" x14ac:dyDescent="0.25">
      <c r="A82" t="s">
        <v>3</v>
      </c>
      <c r="B82" s="206">
        <f t="shared" si="16"/>
        <v>0.125</v>
      </c>
      <c r="C82" s="193">
        <f t="shared" si="17"/>
        <v>7000000</v>
      </c>
      <c r="D82" s="23">
        <f t="shared" si="18"/>
        <v>875000</v>
      </c>
      <c r="F82" t="s">
        <v>3</v>
      </c>
      <c r="G82" s="207">
        <f>+I41</f>
        <v>0.125</v>
      </c>
      <c r="H82" s="196">
        <f t="shared" si="19"/>
        <v>7000000</v>
      </c>
      <c r="I82" s="23">
        <f t="shared" ref="I82:I89" si="22">+H82*G82</f>
        <v>875000</v>
      </c>
      <c r="J82" s="23"/>
      <c r="K82" t="s">
        <v>3</v>
      </c>
      <c r="L82" s="207">
        <f t="shared" si="20"/>
        <v>0.125</v>
      </c>
      <c r="M82" s="196">
        <f t="shared" si="21"/>
        <v>7000000</v>
      </c>
      <c r="N82" s="23">
        <f t="shared" ref="N82:N89" si="23">+M82*L82</f>
        <v>875000</v>
      </c>
      <c r="O82" s="23">
        <f>N82/2</f>
        <v>437500</v>
      </c>
      <c r="P82" s="23">
        <f t="shared" ref="P82:P89" si="24">O82</f>
        <v>437500</v>
      </c>
    </row>
    <row r="83" spans="1:16" x14ac:dyDescent="0.25">
      <c r="A83" t="s">
        <v>286</v>
      </c>
      <c r="B83" s="317">
        <f t="shared" si="16"/>
        <v>8.6999999999999994E-2</v>
      </c>
      <c r="C83" s="357">
        <f t="shared" si="17"/>
        <v>95000000</v>
      </c>
      <c r="D83" s="358">
        <f t="shared" si="18"/>
        <v>8264999.9999999991</v>
      </c>
      <c r="F83" t="s">
        <v>286</v>
      </c>
      <c r="G83" s="318">
        <f>+I42</f>
        <v>8.6999999999999994E-2</v>
      </c>
      <c r="H83" s="355">
        <f t="shared" si="19"/>
        <v>95000000</v>
      </c>
      <c r="I83" s="358">
        <f t="shared" si="22"/>
        <v>8264999.9999999991</v>
      </c>
      <c r="J83" s="23"/>
      <c r="K83" t="s">
        <v>286</v>
      </c>
      <c r="L83" s="318">
        <f t="shared" si="20"/>
        <v>8.6999999999999994E-2</v>
      </c>
      <c r="M83" s="355">
        <f t="shared" si="21"/>
        <v>95000000</v>
      </c>
      <c r="N83" s="358">
        <f t="shared" si="23"/>
        <v>8264999.9999999991</v>
      </c>
      <c r="O83" s="358">
        <f t="shared" ref="O83" si="25">N83/2</f>
        <v>4132499.9999999995</v>
      </c>
      <c r="P83" s="358">
        <f t="shared" si="24"/>
        <v>4132499.9999999995</v>
      </c>
    </row>
    <row r="84" spans="1:16" x14ac:dyDescent="0.25">
      <c r="A84" t="s">
        <v>287</v>
      </c>
      <c r="B84" s="317">
        <f t="shared" si="16"/>
        <v>0.122</v>
      </c>
      <c r="C84" s="357">
        <f t="shared" si="17"/>
        <v>47000000</v>
      </c>
      <c r="D84" s="358">
        <f t="shared" si="18"/>
        <v>5734000</v>
      </c>
      <c r="F84" t="s">
        <v>287</v>
      </c>
      <c r="G84" s="318">
        <f>+I43</f>
        <v>0.122</v>
      </c>
      <c r="H84" s="355">
        <f t="shared" si="19"/>
        <v>47000000</v>
      </c>
      <c r="I84" s="358">
        <f t="shared" si="22"/>
        <v>5734000</v>
      </c>
      <c r="J84" s="23"/>
      <c r="K84" t="s">
        <v>287</v>
      </c>
      <c r="L84" s="318">
        <f t="shared" si="20"/>
        <v>0.122</v>
      </c>
      <c r="M84" s="355">
        <f t="shared" si="21"/>
        <v>47000000</v>
      </c>
      <c r="N84" s="358">
        <f t="shared" si="23"/>
        <v>5734000</v>
      </c>
      <c r="O84" s="358">
        <f t="shared" ref="O84" si="26">N84/2</f>
        <v>2867000</v>
      </c>
      <c r="P84" s="358">
        <f t="shared" si="24"/>
        <v>2867000</v>
      </c>
    </row>
    <row r="85" spans="1:16" x14ac:dyDescent="0.25">
      <c r="A85" t="s">
        <v>288</v>
      </c>
      <c r="B85" s="317">
        <f t="shared" si="16"/>
        <v>0.182</v>
      </c>
      <c r="C85" s="357">
        <f t="shared" si="17"/>
        <v>59000000.000000007</v>
      </c>
      <c r="D85" s="358">
        <f t="shared" si="18"/>
        <v>10738000.000000002</v>
      </c>
      <c r="F85" t="s">
        <v>288</v>
      </c>
      <c r="G85" s="318">
        <f>+I44</f>
        <v>0.182</v>
      </c>
      <c r="H85" s="355">
        <f t="shared" si="19"/>
        <v>59000000.000000007</v>
      </c>
      <c r="I85" s="358">
        <f t="shared" si="22"/>
        <v>10738000.000000002</v>
      </c>
      <c r="J85" s="23"/>
      <c r="K85" t="s">
        <v>288</v>
      </c>
      <c r="L85" s="318">
        <f t="shared" si="20"/>
        <v>0.182</v>
      </c>
      <c r="M85" s="355">
        <f t="shared" si="21"/>
        <v>59000000.000000007</v>
      </c>
      <c r="N85" s="358">
        <f t="shared" si="23"/>
        <v>10738000.000000002</v>
      </c>
      <c r="O85" s="358">
        <f t="shared" ref="O85:O89" si="27">N85/2</f>
        <v>5369000.0000000009</v>
      </c>
      <c r="P85" s="358">
        <f t="shared" si="24"/>
        <v>5369000.0000000009</v>
      </c>
    </row>
    <row r="86" spans="1:16" x14ac:dyDescent="0.25">
      <c r="A86" t="s">
        <v>289</v>
      </c>
      <c r="B86" s="317">
        <f t="shared" si="16"/>
        <v>8.6999999999999994E-2</v>
      </c>
      <c r="C86" s="357">
        <f t="shared" si="17"/>
        <v>5000000</v>
      </c>
      <c r="D86" s="358">
        <f t="shared" si="18"/>
        <v>434999.99999999994</v>
      </c>
      <c r="F86" t="s">
        <v>289</v>
      </c>
      <c r="G86" s="317">
        <f>B86</f>
        <v>8.6999999999999994E-2</v>
      </c>
      <c r="H86" s="355">
        <f t="shared" si="19"/>
        <v>5000000</v>
      </c>
      <c r="I86" s="358">
        <f>+H86*G86</f>
        <v>434999.99999999994</v>
      </c>
      <c r="J86" s="23"/>
      <c r="K86" t="s">
        <v>289</v>
      </c>
      <c r="L86" s="318">
        <f t="shared" si="20"/>
        <v>8.6999999999999994E-2</v>
      </c>
      <c r="M86" s="355">
        <f t="shared" si="21"/>
        <v>5000000</v>
      </c>
      <c r="N86" s="358">
        <f>+M86*L86</f>
        <v>434999.99999999994</v>
      </c>
      <c r="O86" s="358">
        <f>N86/2</f>
        <v>217499.99999999997</v>
      </c>
      <c r="P86" s="358">
        <f>O86</f>
        <v>217499.99999999997</v>
      </c>
    </row>
    <row r="87" spans="1:16" x14ac:dyDescent="0.25">
      <c r="A87" t="s">
        <v>290</v>
      </c>
      <c r="B87" s="317">
        <f t="shared" si="16"/>
        <v>0.122</v>
      </c>
      <c r="C87" s="357">
        <f t="shared" si="17"/>
        <v>2000000</v>
      </c>
      <c r="D87" s="358">
        <f t="shared" si="18"/>
        <v>244000</v>
      </c>
      <c r="F87" t="s">
        <v>290</v>
      </c>
      <c r="G87" s="317">
        <f>B87</f>
        <v>0.122</v>
      </c>
      <c r="H87" s="355">
        <f t="shared" si="19"/>
        <v>2000000</v>
      </c>
      <c r="I87" s="358">
        <f t="shared" si="22"/>
        <v>244000</v>
      </c>
      <c r="J87" s="23"/>
      <c r="K87" t="s">
        <v>290</v>
      </c>
      <c r="L87" s="318">
        <f t="shared" si="20"/>
        <v>0.122</v>
      </c>
      <c r="M87" s="355">
        <f t="shared" si="21"/>
        <v>2000000</v>
      </c>
      <c r="N87" s="358">
        <f t="shared" si="23"/>
        <v>244000</v>
      </c>
      <c r="O87" s="358">
        <f t="shared" si="27"/>
        <v>122000</v>
      </c>
      <c r="P87" s="358">
        <f t="shared" si="24"/>
        <v>122000</v>
      </c>
    </row>
    <row r="88" spans="1:16" x14ac:dyDescent="0.25">
      <c r="A88" t="s">
        <v>291</v>
      </c>
      <c r="B88" s="317">
        <f t="shared" si="16"/>
        <v>0.28599999999999998</v>
      </c>
      <c r="C88" s="357">
        <f t="shared" si="17"/>
        <v>1000000</v>
      </c>
      <c r="D88" s="358">
        <f t="shared" si="18"/>
        <v>286000</v>
      </c>
      <c r="F88" t="s">
        <v>291</v>
      </c>
      <c r="G88" s="317">
        <f>B88</f>
        <v>0.28599999999999998</v>
      </c>
      <c r="H88" s="355">
        <f t="shared" si="19"/>
        <v>1000000</v>
      </c>
      <c r="I88" s="358">
        <f>+H88*G88</f>
        <v>286000</v>
      </c>
      <c r="J88" s="23"/>
      <c r="K88" t="s">
        <v>291</v>
      </c>
      <c r="L88" s="318">
        <f t="shared" si="20"/>
        <v>0.28599999999999998</v>
      </c>
      <c r="M88" s="355">
        <f t="shared" si="21"/>
        <v>1000000</v>
      </c>
      <c r="N88" s="358">
        <f>+M88*L88</f>
        <v>286000</v>
      </c>
      <c r="O88" s="358">
        <f>N88/2</f>
        <v>143000</v>
      </c>
      <c r="P88" s="358">
        <f>O88</f>
        <v>143000</v>
      </c>
    </row>
    <row r="89" spans="1:16" x14ac:dyDescent="0.25">
      <c r="A89" t="s">
        <v>292</v>
      </c>
      <c r="B89" s="317">
        <f t="shared" si="16"/>
        <v>2.8000000000000001E-2</v>
      </c>
      <c r="C89" s="357">
        <f t="shared" si="17"/>
        <v>4000000</v>
      </c>
      <c r="D89" s="358">
        <f t="shared" si="18"/>
        <v>112000</v>
      </c>
      <c r="F89" t="s">
        <v>292</v>
      </c>
      <c r="G89" s="317">
        <f>B89</f>
        <v>2.8000000000000001E-2</v>
      </c>
      <c r="H89" s="355">
        <f t="shared" si="19"/>
        <v>4000000</v>
      </c>
      <c r="I89" s="358">
        <f t="shared" si="22"/>
        <v>112000</v>
      </c>
      <c r="J89" s="23"/>
      <c r="K89" t="s">
        <v>292</v>
      </c>
      <c r="L89" s="318">
        <f t="shared" si="20"/>
        <v>2.8000000000000001E-2</v>
      </c>
      <c r="M89" s="355">
        <f t="shared" si="21"/>
        <v>4000000</v>
      </c>
      <c r="N89" s="358">
        <f t="shared" si="23"/>
        <v>112000</v>
      </c>
      <c r="O89" s="358">
        <f t="shared" si="27"/>
        <v>56000</v>
      </c>
      <c r="P89" s="358">
        <f t="shared" si="24"/>
        <v>56000</v>
      </c>
    </row>
    <row r="90" spans="1:16" ht="15.75" thickBot="1" x14ac:dyDescent="0.3">
      <c r="A90" t="s">
        <v>18</v>
      </c>
      <c r="B90" s="108"/>
      <c r="C90" s="300">
        <f>SUM(C81:C89)</f>
        <v>225000000</v>
      </c>
      <c r="D90" s="359">
        <f>SUM(D81:D89)</f>
        <v>27204000</v>
      </c>
      <c r="F90" t="s">
        <v>26</v>
      </c>
      <c r="G90" s="108"/>
      <c r="H90" s="300">
        <f>SUM(H81:H89)</f>
        <v>225000000</v>
      </c>
      <c r="I90" s="359">
        <f>SUM(I81:I89)</f>
        <v>27204000</v>
      </c>
      <c r="J90" s="222"/>
      <c r="K90" t="s">
        <v>26</v>
      </c>
      <c r="L90" s="108"/>
      <c r="M90" s="300">
        <f>SUM(M81:M89)</f>
        <v>225000000</v>
      </c>
      <c r="N90" s="359">
        <f>SUM(N81:N89)</f>
        <v>27204000</v>
      </c>
      <c r="O90" s="360">
        <f t="shared" ref="O90" si="28">N90/2</f>
        <v>13602000</v>
      </c>
      <c r="P90" s="359">
        <f>SUM(P81:P89)</f>
        <v>13602000</v>
      </c>
    </row>
    <row r="91" spans="1:16" ht="15.75" thickTop="1" x14ac:dyDescent="0.25"/>
    <row r="92" spans="1:16" x14ac:dyDescent="0.25">
      <c r="A92" s="22" t="s">
        <v>117</v>
      </c>
      <c r="F92" s="22" t="s">
        <v>282</v>
      </c>
      <c r="J92" s="222"/>
      <c r="K92" s="22" t="s">
        <v>372</v>
      </c>
    </row>
    <row r="93" spans="1:16" x14ac:dyDescent="0.25">
      <c r="A93" s="22"/>
      <c r="B93" s="19" t="s">
        <v>36</v>
      </c>
      <c r="C93" s="215" t="s">
        <v>14</v>
      </c>
      <c r="D93" s="214" t="s">
        <v>37</v>
      </c>
      <c r="E93" s="5"/>
      <c r="F93" s="22"/>
      <c r="G93" s="19" t="s">
        <v>36</v>
      </c>
      <c r="H93" s="215" t="s">
        <v>14</v>
      </c>
      <c r="I93" s="225" t="s">
        <v>37</v>
      </c>
      <c r="J93" s="222"/>
      <c r="K93" s="22"/>
      <c r="L93" s="19" t="s">
        <v>36</v>
      </c>
      <c r="M93" s="215" t="s">
        <v>14</v>
      </c>
      <c r="N93" s="225" t="s">
        <v>37</v>
      </c>
      <c r="O93" s="10" t="s">
        <v>186</v>
      </c>
      <c r="P93" s="10" t="s">
        <v>185</v>
      </c>
    </row>
    <row r="94" spans="1:16" x14ac:dyDescent="0.25">
      <c r="A94" t="s">
        <v>127</v>
      </c>
      <c r="B94" s="9">
        <f>+B55</f>
        <v>2.8624405852328703E-2</v>
      </c>
      <c r="C94" s="224">
        <f>+D34</f>
        <v>310000000</v>
      </c>
      <c r="D94" s="221">
        <f>+B94*C94</f>
        <v>8873565.8142218981</v>
      </c>
      <c r="F94" t="s">
        <v>127</v>
      </c>
      <c r="G94" s="9">
        <f>+G55</f>
        <v>2.8624405852328703E-2</v>
      </c>
      <c r="H94" s="224">
        <f>+I34</f>
        <v>310000000</v>
      </c>
      <c r="I94" s="226">
        <f>+G94*H94</f>
        <v>8873565.8142218981</v>
      </c>
      <c r="J94" s="227"/>
      <c r="K94" t="s">
        <v>127</v>
      </c>
      <c r="L94" s="9">
        <f>+G94</f>
        <v>2.8624405852328703E-2</v>
      </c>
      <c r="M94" s="224">
        <f>+N34</f>
        <v>310000000</v>
      </c>
      <c r="N94" s="226">
        <f>+L94*M94</f>
        <v>8873565.8142218981</v>
      </c>
      <c r="O94" s="5">
        <f>N94/2</f>
        <v>4436782.907110949</v>
      </c>
      <c r="P94" s="5">
        <f>O94</f>
        <v>4436782.907110949</v>
      </c>
    </row>
    <row r="95" spans="1:16" x14ac:dyDescent="0.25">
      <c r="A95" t="s">
        <v>101</v>
      </c>
      <c r="B95" s="9"/>
      <c r="C95" s="224"/>
      <c r="D95" s="221">
        <f>D69</f>
        <v>1850000</v>
      </c>
      <c r="F95" t="s">
        <v>118</v>
      </c>
      <c r="G95" s="9"/>
      <c r="H95" s="228"/>
      <c r="I95" s="226">
        <f>+I69</f>
        <v>1980000</v>
      </c>
      <c r="J95" s="227"/>
      <c r="K95" t="s">
        <v>118</v>
      </c>
      <c r="L95" s="9"/>
      <c r="M95" s="228"/>
      <c r="N95" s="226">
        <f>I95</f>
        <v>1980000</v>
      </c>
      <c r="O95" s="5">
        <f>N95</f>
        <v>1980000</v>
      </c>
    </row>
    <row r="96" spans="1:16" x14ac:dyDescent="0.25">
      <c r="A96" t="s">
        <v>100</v>
      </c>
      <c r="B96" s="9">
        <f>+B56</f>
        <v>0.10589999999999999</v>
      </c>
      <c r="C96" s="224">
        <f>+C34</f>
        <v>275000000</v>
      </c>
      <c r="D96" s="221">
        <f>+B96*C96</f>
        <v>29122500</v>
      </c>
      <c r="E96" s="5"/>
      <c r="F96" t="s">
        <v>100</v>
      </c>
      <c r="G96" s="9">
        <f>+G56</f>
        <v>0.10589999999999999</v>
      </c>
      <c r="H96" s="224">
        <f>+H34</f>
        <v>275000000</v>
      </c>
      <c r="I96" s="221">
        <f>+G96*H96</f>
        <v>29122500</v>
      </c>
      <c r="J96" s="222"/>
      <c r="K96" t="s">
        <v>100</v>
      </c>
      <c r="L96" s="9">
        <f>G96</f>
        <v>0.10589999999999999</v>
      </c>
      <c r="M96" s="224">
        <f>+M34</f>
        <v>275000000</v>
      </c>
      <c r="N96" s="221">
        <f>I96</f>
        <v>29122500</v>
      </c>
      <c r="O96" s="5">
        <f>N96/2</f>
        <v>14561250</v>
      </c>
      <c r="P96" s="5">
        <f>O96</f>
        <v>14561250</v>
      </c>
    </row>
    <row r="97" spans="1:17" ht="15.75" thickBot="1" x14ac:dyDescent="0.3">
      <c r="C97" s="224"/>
      <c r="D97" s="223">
        <f>SUM(D94:D96)</f>
        <v>39846065.814221896</v>
      </c>
      <c r="E97" s="244"/>
      <c r="H97" s="224"/>
      <c r="I97" s="223">
        <f>SUM(I94:I96)</f>
        <v>39976065.814221896</v>
      </c>
      <c r="J97" s="222"/>
      <c r="M97" s="224"/>
      <c r="N97" s="223">
        <f>SUM(N94:N96)</f>
        <v>39976065.814221896</v>
      </c>
      <c r="O97" s="223">
        <f t="shared" ref="O97:P97" si="29">SUM(O94:O96)</f>
        <v>20978032.907110948</v>
      </c>
      <c r="P97" s="223">
        <f t="shared" si="29"/>
        <v>18998032.907110948</v>
      </c>
    </row>
    <row r="98" spans="1:17" ht="15.75" thickTop="1" x14ac:dyDescent="0.25">
      <c r="E98" s="50"/>
      <c r="H98" s="224"/>
      <c r="I98" s="222"/>
      <c r="J98" s="222"/>
      <c r="K98" s="222"/>
      <c r="L98" s="222"/>
      <c r="M98" s="222"/>
    </row>
    <row r="99" spans="1:17" ht="15.75" thickBot="1" x14ac:dyDescent="0.3">
      <c r="A99" s="22" t="s">
        <v>284</v>
      </c>
      <c r="D99" s="5"/>
      <c r="E99" s="5"/>
      <c r="F99" s="199" t="s">
        <v>285</v>
      </c>
      <c r="I99" s="5"/>
      <c r="J99" s="222"/>
      <c r="K99" s="222"/>
      <c r="L99" s="222"/>
      <c r="M99" s="222"/>
      <c r="N99" t="s">
        <v>390</v>
      </c>
      <c r="P99" s="361">
        <f>P97+P90</f>
        <v>32600032.907110948</v>
      </c>
    </row>
    <row r="100" spans="1:17" ht="15.75" thickTop="1" x14ac:dyDescent="0.25">
      <c r="D100" s="5"/>
      <c r="I100" s="5"/>
      <c r="J100" s="222"/>
      <c r="K100" s="222"/>
      <c r="L100" s="229"/>
      <c r="M100" s="222"/>
      <c r="Q100" s="57"/>
    </row>
    <row r="101" spans="1:17" ht="17.25" x14ac:dyDescent="0.25">
      <c r="A101" s="22"/>
      <c r="B101" s="19" t="s">
        <v>36</v>
      </c>
      <c r="C101" s="215" t="s">
        <v>14</v>
      </c>
      <c r="D101" s="214" t="s">
        <v>37</v>
      </c>
      <c r="E101" s="50"/>
      <c r="F101" s="22"/>
      <c r="G101" s="19" t="s">
        <v>36</v>
      </c>
      <c r="H101" s="215" t="s">
        <v>14</v>
      </c>
      <c r="I101" s="19" t="s">
        <v>269</v>
      </c>
      <c r="J101" s="222"/>
      <c r="K101" s="222"/>
      <c r="L101" s="229"/>
      <c r="M101" s="222"/>
    </row>
    <row r="102" spans="1:17" x14ac:dyDescent="0.25">
      <c r="A102" t="s">
        <v>234</v>
      </c>
      <c r="B102" s="9">
        <f>+D102/C102</f>
        <v>3.2572599762994731E-2</v>
      </c>
      <c r="C102" s="196">
        <f>+D33</f>
        <v>225000000</v>
      </c>
      <c r="D102" s="217">
        <v>7328834.9466738151</v>
      </c>
      <c r="E102" s="50"/>
      <c r="F102" t="s">
        <v>235</v>
      </c>
      <c r="G102" s="471">
        <f>G109</f>
        <v>3.3122232598371396E-2</v>
      </c>
      <c r="H102" s="196">
        <f>+I33</f>
        <v>225000000</v>
      </c>
      <c r="I102" s="230">
        <f>+H102*G102</f>
        <v>7452502.3346335636</v>
      </c>
      <c r="J102" s="231"/>
      <c r="K102" s="231"/>
      <c r="L102" s="229"/>
      <c r="M102" s="222"/>
      <c r="Q102" s="51"/>
    </row>
    <row r="103" spans="1:17" x14ac:dyDescent="0.25">
      <c r="A103" t="s">
        <v>233</v>
      </c>
      <c r="B103" s="9">
        <f>+D103/C103</f>
        <v>2.8624405852328703E-2</v>
      </c>
      <c r="C103" s="196">
        <f>+D34</f>
        <v>310000000</v>
      </c>
      <c r="D103" s="217">
        <v>8873565.8142218981</v>
      </c>
      <c r="E103" s="50"/>
      <c r="F103" t="s">
        <v>236</v>
      </c>
      <c r="G103" s="9">
        <f>+I103/H103</f>
        <v>2.8624405852328703E-2</v>
      </c>
      <c r="H103" s="196">
        <f>+I34</f>
        <v>310000000</v>
      </c>
      <c r="I103" s="218">
        <f>+D103</f>
        <v>8873565.8142218981</v>
      </c>
      <c r="J103" s="231"/>
      <c r="K103" s="231"/>
      <c r="L103" s="229"/>
      <c r="M103" s="222"/>
    </row>
    <row r="104" spans="1:17" ht="15.75" thickBot="1" x14ac:dyDescent="0.3">
      <c r="B104" s="61">
        <f>+D104/C104</f>
        <v>3.028486123531909E-2</v>
      </c>
      <c r="C104" s="232">
        <f>SUM(C102:C103)</f>
        <v>535000000</v>
      </c>
      <c r="D104" s="60">
        <f>+D102+D103</f>
        <v>16202400.760895714</v>
      </c>
      <c r="G104" s="61">
        <f>+I104/H104</f>
        <v>3.0516015231505537E-2</v>
      </c>
      <c r="H104" s="232">
        <f>SUM(H102:H103)</f>
        <v>535000000</v>
      </c>
      <c r="I104" s="60">
        <f>+I102+I103</f>
        <v>16326068.148855463</v>
      </c>
      <c r="J104" s="224"/>
      <c r="K104" s="222"/>
      <c r="L104" s="222"/>
      <c r="M104" s="222"/>
    </row>
    <row r="105" spans="1:17" ht="15.75" thickTop="1" x14ac:dyDescent="0.25">
      <c r="D105" s="5"/>
      <c r="G105" s="9"/>
      <c r="H105" s="224"/>
      <c r="I105" s="5"/>
      <c r="J105" s="224"/>
      <c r="K105" s="222"/>
      <c r="L105" s="222"/>
      <c r="M105" s="222"/>
    </row>
    <row r="106" spans="1:17" x14ac:dyDescent="0.25">
      <c r="A106" s="418" t="s">
        <v>338</v>
      </c>
      <c r="B106" s="411"/>
      <c r="C106" s="411"/>
      <c r="D106" s="410"/>
      <c r="F106" s="407" t="s">
        <v>441</v>
      </c>
      <c r="G106" s="408"/>
      <c r="H106" s="409"/>
      <c r="I106" s="410"/>
      <c r="J106" s="224"/>
      <c r="K106" s="222"/>
      <c r="L106" s="222"/>
      <c r="M106" s="222"/>
    </row>
    <row r="107" spans="1:17" x14ac:dyDescent="0.25">
      <c r="A107" s="411"/>
      <c r="B107" s="411"/>
      <c r="C107" s="411"/>
      <c r="D107" s="410"/>
      <c r="F107" s="411"/>
      <c r="G107" s="411"/>
      <c r="H107" s="411"/>
      <c r="I107" s="411"/>
      <c r="J107" s="224"/>
      <c r="K107" s="222"/>
      <c r="L107" s="222"/>
      <c r="M107" s="222"/>
    </row>
    <row r="108" spans="1:17" x14ac:dyDescent="0.25">
      <c r="A108" s="418"/>
      <c r="B108" s="412" t="s">
        <v>36</v>
      </c>
      <c r="C108" s="419" t="s">
        <v>14</v>
      </c>
      <c r="D108" s="420" t="s">
        <v>37</v>
      </c>
      <c r="F108" s="411"/>
      <c r="G108" s="412" t="s">
        <v>36</v>
      </c>
      <c r="H108" s="413" t="s">
        <v>14</v>
      </c>
      <c r="I108" s="414" t="s">
        <v>37</v>
      </c>
      <c r="J108" s="224"/>
      <c r="K108" s="222"/>
      <c r="L108" s="222"/>
      <c r="M108" s="222"/>
    </row>
    <row r="109" spans="1:17" x14ac:dyDescent="0.25">
      <c r="A109" s="411" t="s">
        <v>317</v>
      </c>
      <c r="B109" s="408">
        <f>+D109/C109</f>
        <v>3.2572599779706675E-2</v>
      </c>
      <c r="C109" s="421">
        <f>D12</f>
        <v>225000000</v>
      </c>
      <c r="D109" s="422">
        <f>(D67+D68+D73)-D110</f>
        <v>7328834.9504340012</v>
      </c>
      <c r="F109" s="411" t="s">
        <v>319</v>
      </c>
      <c r="G109" s="423">
        <f>I109/H109</f>
        <v>3.3122232598371396E-2</v>
      </c>
      <c r="H109" s="421">
        <f>I12</f>
        <v>225112500</v>
      </c>
      <c r="I109" s="422">
        <f>(I67+I68+I73)-I110</f>
        <v>7456228.5858008806</v>
      </c>
      <c r="J109" s="224"/>
      <c r="K109" s="222"/>
      <c r="L109" s="222"/>
      <c r="M109" s="222"/>
    </row>
    <row r="110" spans="1:17" x14ac:dyDescent="0.25">
      <c r="A110" s="411" t="s">
        <v>318</v>
      </c>
      <c r="B110" s="408">
        <f>+B103</f>
        <v>2.8624405852328703E-2</v>
      </c>
      <c r="C110" s="421">
        <f>D13</f>
        <v>310000000</v>
      </c>
      <c r="D110" s="422">
        <f>B110*C110</f>
        <v>8873565.8142218981</v>
      </c>
      <c r="F110" s="411" t="s">
        <v>320</v>
      </c>
      <c r="G110" s="423">
        <f>+G103*(+I76/(B60+B61))</f>
        <v>2.9075401003925735E-2</v>
      </c>
      <c r="H110" s="421">
        <f>I13</f>
        <v>310137500</v>
      </c>
      <c r="I110" s="422">
        <f>G110*H110</f>
        <v>9017372.1788550187</v>
      </c>
      <c r="J110" s="224"/>
      <c r="K110" s="222"/>
      <c r="L110" s="222"/>
      <c r="M110" s="222"/>
    </row>
    <row r="111" spans="1:17" ht="15.75" thickBot="1" x14ac:dyDescent="0.3">
      <c r="A111" s="411"/>
      <c r="B111" s="415">
        <f>+D111/C111</f>
        <v>3.0284861242347475E-2</v>
      </c>
      <c r="C111" s="416">
        <f>SUM(C109:C110)</f>
        <v>535000000</v>
      </c>
      <c r="D111" s="417">
        <f>+D109+D110</f>
        <v>16202400.764655899</v>
      </c>
      <c r="F111" s="411"/>
      <c r="G111" s="415">
        <f>I111/H111</f>
        <v>3.0777395169838205E-2</v>
      </c>
      <c r="H111" s="416">
        <f>SUM(H109:H110)</f>
        <v>535250000</v>
      </c>
      <c r="I111" s="417">
        <f>SUM(I109:I110)</f>
        <v>16473600.764655899</v>
      </c>
      <c r="J111" s="224"/>
      <c r="K111" s="222"/>
      <c r="L111" s="222"/>
      <c r="M111" s="222"/>
    </row>
    <row r="112" spans="1:17" ht="15.75" thickTop="1" x14ac:dyDescent="0.25">
      <c r="B112" s="9"/>
      <c r="C112" s="224"/>
      <c r="D112" s="5"/>
      <c r="G112" s="9"/>
      <c r="H112" s="224"/>
      <c r="I112" s="5"/>
      <c r="J112" s="224"/>
      <c r="K112" s="222"/>
      <c r="L112" s="222"/>
      <c r="M112" s="222"/>
    </row>
    <row r="113" spans="1:10" ht="378.75" customHeight="1" x14ac:dyDescent="0.25">
      <c r="A113" s="492" t="s">
        <v>294</v>
      </c>
      <c r="B113" s="492"/>
      <c r="C113" s="492"/>
      <c r="D113" s="492"/>
      <c r="F113" s="491" t="s">
        <v>293</v>
      </c>
      <c r="G113" s="491"/>
      <c r="H113" s="491"/>
      <c r="I113" s="491"/>
      <c r="J113" s="240"/>
    </row>
    <row r="114" spans="1:10" x14ac:dyDescent="0.25">
      <c r="A114" s="490"/>
      <c r="B114" s="490"/>
      <c r="C114" s="490"/>
      <c r="D114" s="490"/>
    </row>
    <row r="115" spans="1:10" x14ac:dyDescent="0.25">
      <c r="A115" s="490"/>
      <c r="B115" s="490"/>
      <c r="C115" s="490"/>
      <c r="D115" s="490"/>
      <c r="E115" s="64"/>
      <c r="F115" s="490"/>
      <c r="G115" s="490"/>
      <c r="H115" s="490"/>
      <c r="I115" s="490"/>
    </row>
    <row r="116" spans="1:10" x14ac:dyDescent="0.25">
      <c r="A116" s="492"/>
      <c r="B116" s="492"/>
      <c r="C116" s="492"/>
      <c r="D116" s="492"/>
      <c r="F116" s="490"/>
      <c r="G116" s="490"/>
      <c r="H116" s="490"/>
      <c r="I116" s="490"/>
    </row>
    <row r="117" spans="1:10" x14ac:dyDescent="0.25">
      <c r="A117" s="489"/>
      <c r="B117" s="489"/>
      <c r="C117" s="489"/>
      <c r="D117" s="489"/>
      <c r="E117" s="64"/>
      <c r="F117" s="490"/>
      <c r="G117" s="490"/>
      <c r="H117" s="490"/>
      <c r="I117" s="490"/>
    </row>
    <row r="118" spans="1:10" x14ac:dyDescent="0.25">
      <c r="A118" s="489"/>
      <c r="B118" s="489"/>
      <c r="C118" s="489"/>
      <c r="D118" s="489"/>
      <c r="E118" s="196"/>
      <c r="F118" s="490"/>
      <c r="G118" s="490"/>
      <c r="H118" s="490"/>
      <c r="I118" s="490"/>
    </row>
    <row r="119" spans="1:10" x14ac:dyDescent="0.25">
      <c r="E119" s="196"/>
      <c r="J119" s="5"/>
    </row>
    <row r="120" spans="1:10" x14ac:dyDescent="0.25">
      <c r="G120" s="9"/>
      <c r="H120" s="233"/>
      <c r="I120" s="221"/>
      <c r="J120" s="5"/>
    </row>
    <row r="121" spans="1:10" x14ac:dyDescent="0.25">
      <c r="G121" s="9"/>
      <c r="H121" s="233"/>
      <c r="I121" s="5"/>
    </row>
  </sheetData>
  <mergeCells count="11">
    <mergeCell ref="A118:D118"/>
    <mergeCell ref="A114:D114"/>
    <mergeCell ref="F113:I113"/>
    <mergeCell ref="F118:I118"/>
    <mergeCell ref="F115:I115"/>
    <mergeCell ref="A113:D113"/>
    <mergeCell ref="A115:D115"/>
    <mergeCell ref="F116:I116"/>
    <mergeCell ref="F117:I117"/>
    <mergeCell ref="A116:D116"/>
    <mergeCell ref="A117:D117"/>
  </mergeCells>
  <phoneticPr fontId="27" type="noConversion"/>
  <pageMargins left="0.7" right="0.7" top="0.75" bottom="0.75" header="0.3" footer="0.3"/>
  <pageSetup paperSize="17" scale="51"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50"/>
  <sheetViews>
    <sheetView showGridLines="0" zoomScale="84" zoomScaleNormal="84" workbookViewId="0">
      <selection sqref="A1:K50"/>
    </sheetView>
  </sheetViews>
  <sheetFormatPr defaultColWidth="17.85546875" defaultRowHeight="15" x14ac:dyDescent="0.25"/>
  <cols>
    <col min="1" max="1" width="25.140625" customWidth="1"/>
  </cols>
  <sheetData>
    <row r="1" spans="1:30" ht="26.25" x14ac:dyDescent="0.4">
      <c r="A1" s="55" t="s">
        <v>71</v>
      </c>
    </row>
    <row r="3" spans="1:30" ht="18.75" x14ac:dyDescent="0.3">
      <c r="A3" s="21" t="s">
        <v>432</v>
      </c>
      <c r="M3" s="21"/>
      <c r="V3" s="21"/>
    </row>
    <row r="4" spans="1:30" x14ac:dyDescent="0.25">
      <c r="A4" s="10"/>
      <c r="M4" s="10"/>
      <c r="V4" s="10"/>
    </row>
    <row r="5" spans="1:30" x14ac:dyDescent="0.25">
      <c r="A5" s="10" t="s">
        <v>130</v>
      </c>
      <c r="M5" s="10"/>
      <c r="V5" s="10"/>
    </row>
    <row r="6" spans="1:30" ht="30" x14ac:dyDescent="0.25">
      <c r="A6" s="33" t="s">
        <v>35</v>
      </c>
      <c r="B6" s="34" t="s">
        <v>16</v>
      </c>
      <c r="C6" s="35" t="s">
        <v>67</v>
      </c>
      <c r="D6" s="34" t="s">
        <v>28</v>
      </c>
      <c r="E6" s="35" t="s">
        <v>27</v>
      </c>
      <c r="F6" s="34" t="s">
        <v>7</v>
      </c>
      <c r="G6" s="34" t="s">
        <v>14</v>
      </c>
      <c r="H6" s="35" t="s">
        <v>77</v>
      </c>
      <c r="I6" s="35" t="s">
        <v>73</v>
      </c>
      <c r="J6" s="35" t="s">
        <v>76</v>
      </c>
      <c r="K6" s="35" t="s">
        <v>168</v>
      </c>
      <c r="M6" s="10"/>
      <c r="N6" s="19"/>
      <c r="O6" s="19"/>
      <c r="P6" s="19"/>
      <c r="Q6" s="30"/>
      <c r="R6" s="10"/>
      <c r="S6" s="19"/>
      <c r="T6" s="26"/>
      <c r="V6" s="10"/>
      <c r="W6" s="19"/>
      <c r="X6" s="19"/>
      <c r="Y6" s="19"/>
      <c r="Z6" s="30"/>
      <c r="AA6" s="10"/>
      <c r="AB6" s="19"/>
      <c r="AC6" s="26"/>
    </row>
    <row r="7" spans="1:30" x14ac:dyDescent="0.25">
      <c r="A7" t="s">
        <v>2</v>
      </c>
      <c r="B7" s="31">
        <f>+'Data for Settlement &amp; 1st TU'!D40</f>
        <v>0.10299999999999999</v>
      </c>
      <c r="C7" s="301">
        <f>+'Data for Settlement &amp; 1st TU'!$B$54</f>
        <v>3.2572599762994731E-2</v>
      </c>
      <c r="D7" s="301">
        <f>+'Data for Settlement &amp; 1st TU'!$B$57</f>
        <v>7.8700000000000006E-2</v>
      </c>
      <c r="E7" s="286">
        <f>+C7+D7</f>
        <v>0.11127259976299474</v>
      </c>
      <c r="F7" s="287">
        <f>+B7-E7</f>
        <v>-8.2725997629947423E-3</v>
      </c>
      <c r="G7" s="373">
        <f>'Data for Settlement &amp; 1st TU'!C18</f>
        <v>4999999.9999999944</v>
      </c>
      <c r="H7" s="350">
        <f>+G7*B7</f>
        <v>514999.99999999942</v>
      </c>
      <c r="I7" s="350">
        <f>+G7*C7</f>
        <v>162862.99881497349</v>
      </c>
      <c r="J7" s="350">
        <f>+G7*D7</f>
        <v>393499.99999999959</v>
      </c>
      <c r="K7" s="350">
        <f>+H7-I7-J7</f>
        <v>-41362.998814973689</v>
      </c>
      <c r="L7" s="2"/>
      <c r="N7" s="27"/>
      <c r="O7" s="31"/>
      <c r="P7" s="31"/>
      <c r="Q7" s="31"/>
      <c r="R7" s="32"/>
      <c r="S7" s="28"/>
      <c r="T7" s="24"/>
      <c r="W7" s="31"/>
      <c r="X7" s="31"/>
      <c r="Y7" s="31"/>
      <c r="Z7" s="31"/>
      <c r="AA7" s="32"/>
      <c r="AB7" s="28"/>
      <c r="AC7" s="24"/>
      <c r="AD7" s="5"/>
    </row>
    <row r="8" spans="1:30" x14ac:dyDescent="0.25">
      <c r="A8" t="s">
        <v>3</v>
      </c>
      <c r="B8" s="31">
        <f>+'Data for Settlement &amp; 1st TU'!D41</f>
        <v>0.125</v>
      </c>
      <c r="C8" s="301">
        <f>+'Data for Settlement &amp; 1st TU'!$B$54</f>
        <v>3.2572599762994731E-2</v>
      </c>
      <c r="D8" s="301">
        <f>+'Data for Settlement &amp; 1st TU'!$B$57</f>
        <v>7.8700000000000006E-2</v>
      </c>
      <c r="E8" s="286">
        <f t="shared" ref="E8:E11" si="0">+C8+D8</f>
        <v>0.11127259976299474</v>
      </c>
      <c r="F8" s="287">
        <f t="shared" ref="F8:F11" si="1">+B8-E8</f>
        <v>1.3727400237005263E-2</v>
      </c>
      <c r="G8" s="373">
        <f>'Data for Settlement &amp; 1st TU'!C19</f>
        <v>7000000</v>
      </c>
      <c r="H8" s="350">
        <f t="shared" ref="H8:H11" si="2">+G8*B8</f>
        <v>875000</v>
      </c>
      <c r="I8" s="350">
        <f t="shared" ref="I8:I11" si="3">+G8*C8</f>
        <v>228008.19834096311</v>
      </c>
      <c r="J8" s="350">
        <f t="shared" ref="J8:J11" si="4">+G8*D8</f>
        <v>550900</v>
      </c>
      <c r="K8" s="350">
        <f t="shared" ref="K8:K11" si="5">+H8-I8-J8</f>
        <v>96091.801659036893</v>
      </c>
      <c r="L8" s="2"/>
      <c r="N8" s="27"/>
      <c r="O8" s="31"/>
      <c r="P8" s="31"/>
      <c r="Q8" s="31"/>
      <c r="R8" s="32"/>
      <c r="S8" s="28"/>
      <c r="T8" s="24"/>
      <c r="W8" s="31"/>
      <c r="X8" s="31"/>
      <c r="Y8" s="31"/>
      <c r="Z8" s="31"/>
      <c r="AA8" s="32"/>
      <c r="AB8" s="28"/>
      <c r="AC8" s="24"/>
      <c r="AD8" s="5"/>
    </row>
    <row r="9" spans="1:30" x14ac:dyDescent="0.25">
      <c r="A9" t="s">
        <v>286</v>
      </c>
      <c r="B9" s="301">
        <f>+'Data for Settlement &amp; 1st TU'!D42</f>
        <v>8.6999999999999994E-2</v>
      </c>
      <c r="C9" s="301">
        <f>+'Data for Settlement &amp; 1st TU'!$B$54</f>
        <v>3.2572599762994731E-2</v>
      </c>
      <c r="D9" s="301">
        <f>+'Data for Settlement &amp; 1st TU'!$B$57</f>
        <v>7.8700000000000006E-2</v>
      </c>
      <c r="E9" s="286">
        <f t="shared" si="0"/>
        <v>0.11127259976299474</v>
      </c>
      <c r="F9" s="287">
        <f t="shared" si="1"/>
        <v>-2.4272599762994743E-2</v>
      </c>
      <c r="G9" s="373">
        <f>'Data for Settlement &amp; 1st TU'!C20</f>
        <v>95000000</v>
      </c>
      <c r="H9" s="350">
        <f t="shared" si="2"/>
        <v>8264999.9999999991</v>
      </c>
      <c r="I9" s="350">
        <f t="shared" si="3"/>
        <v>3094396.9774844996</v>
      </c>
      <c r="J9" s="350">
        <f t="shared" si="4"/>
        <v>7476500.0000000009</v>
      </c>
      <c r="K9" s="350">
        <f t="shared" si="5"/>
        <v>-2305896.977484501</v>
      </c>
      <c r="L9" s="2"/>
      <c r="N9" s="27"/>
      <c r="O9" s="31"/>
      <c r="P9" s="31"/>
      <c r="Q9" s="31"/>
      <c r="R9" s="32"/>
      <c r="S9" s="28"/>
      <c r="T9" s="24"/>
      <c r="W9" s="31"/>
      <c r="X9" s="31"/>
      <c r="Y9" s="31"/>
      <c r="Z9" s="31"/>
      <c r="AA9" s="32"/>
      <c r="AB9" s="28"/>
      <c r="AC9" s="24"/>
      <c r="AD9" s="5"/>
    </row>
    <row r="10" spans="1:30" x14ac:dyDescent="0.25">
      <c r="A10" t="s">
        <v>287</v>
      </c>
      <c r="B10" s="301">
        <f>+'Data for Settlement &amp; 1st TU'!D43</f>
        <v>0.122</v>
      </c>
      <c r="C10" s="301">
        <f>+'Data for Settlement &amp; 1st TU'!$B$54</f>
        <v>3.2572599762994731E-2</v>
      </c>
      <c r="D10" s="301">
        <f>+'Data for Settlement &amp; 1st TU'!$B$57</f>
        <v>7.8700000000000006E-2</v>
      </c>
      <c r="E10" s="286">
        <f t="shared" si="0"/>
        <v>0.11127259976299474</v>
      </c>
      <c r="F10" s="287">
        <f t="shared" si="1"/>
        <v>1.0727400237005261E-2</v>
      </c>
      <c r="G10" s="373">
        <f>'Data for Settlement &amp; 1st TU'!C21</f>
        <v>47000000</v>
      </c>
      <c r="H10" s="350">
        <f t="shared" si="2"/>
        <v>5734000</v>
      </c>
      <c r="I10" s="350">
        <f t="shared" si="3"/>
        <v>1530912.1888607524</v>
      </c>
      <c r="J10" s="350">
        <f t="shared" si="4"/>
        <v>3698900.0000000005</v>
      </c>
      <c r="K10" s="350">
        <f t="shared" si="5"/>
        <v>504187.81113924691</v>
      </c>
      <c r="L10" s="2"/>
      <c r="N10" s="27"/>
      <c r="O10" s="31"/>
      <c r="P10" s="31"/>
      <c r="Q10" s="31"/>
      <c r="R10" s="32"/>
      <c r="S10" s="28"/>
      <c r="T10" s="24"/>
      <c r="W10" s="31"/>
      <c r="X10" s="31"/>
      <c r="Y10" s="31"/>
      <c r="Z10" s="31"/>
      <c r="AA10" s="32"/>
      <c r="AB10" s="28"/>
      <c r="AC10" s="24"/>
      <c r="AD10" s="5"/>
    </row>
    <row r="11" spans="1:30" x14ac:dyDescent="0.25">
      <c r="A11" t="s">
        <v>288</v>
      </c>
      <c r="B11" s="301">
        <f>+'Data for Settlement &amp; 1st TU'!D44</f>
        <v>0.182</v>
      </c>
      <c r="C11" s="301">
        <f>+'Data for Settlement &amp; 1st TU'!$B$54</f>
        <v>3.2572599762994731E-2</v>
      </c>
      <c r="D11" s="301">
        <f>+'Data for Settlement &amp; 1st TU'!$B$57</f>
        <v>7.8700000000000006E-2</v>
      </c>
      <c r="E11" s="286">
        <f t="shared" si="0"/>
        <v>0.11127259976299474</v>
      </c>
      <c r="F11" s="287">
        <f t="shared" si="1"/>
        <v>7.0727400237005258E-2</v>
      </c>
      <c r="G11" s="373">
        <f>'Data for Settlement &amp; 1st TU'!C22</f>
        <v>59000000.000000007</v>
      </c>
      <c r="H11" s="350">
        <f t="shared" si="2"/>
        <v>10738000.000000002</v>
      </c>
      <c r="I11" s="350">
        <f t="shared" si="3"/>
        <v>1921783.3860166892</v>
      </c>
      <c r="J11" s="350">
        <f t="shared" si="4"/>
        <v>4643300.0000000009</v>
      </c>
      <c r="K11" s="350">
        <f t="shared" si="5"/>
        <v>4172916.6139833117</v>
      </c>
      <c r="L11" s="2"/>
      <c r="N11" s="27"/>
      <c r="O11" s="31"/>
      <c r="P11" s="31"/>
      <c r="Q11" s="31"/>
      <c r="R11" s="32"/>
      <c r="S11" s="28"/>
      <c r="T11" s="24"/>
      <c r="W11" s="31"/>
      <c r="X11" s="31"/>
      <c r="Y11" s="31"/>
      <c r="Z11" s="31"/>
      <c r="AA11" s="32"/>
      <c r="AB11" s="28"/>
      <c r="AC11" s="24"/>
      <c r="AD11" s="5"/>
    </row>
    <row r="12" spans="1:30" x14ac:dyDescent="0.25">
      <c r="A12" t="s">
        <v>289</v>
      </c>
      <c r="B12" s="301">
        <f>+'Data for Settlement &amp; 1st TU'!D45</f>
        <v>8.6999999999999994E-2</v>
      </c>
      <c r="C12" s="301">
        <f>+'Data for Settlement &amp; 1st TU'!$B$54</f>
        <v>3.2572599762994731E-2</v>
      </c>
      <c r="D12" s="301">
        <f>+'Data for Settlement &amp; 1st TU'!$B$57</f>
        <v>7.8700000000000006E-2</v>
      </c>
      <c r="E12" s="286">
        <f>+C12+D12</f>
        <v>0.11127259976299474</v>
      </c>
      <c r="F12" s="287">
        <f>+B12-E12</f>
        <v>-2.4272599762994743E-2</v>
      </c>
      <c r="G12" s="373">
        <f>'Data for Settlement &amp; 1st TU'!C23</f>
        <v>5000000</v>
      </c>
      <c r="H12" s="350">
        <f>+G12*B12</f>
        <v>434999.99999999994</v>
      </c>
      <c r="I12" s="350">
        <f>+G12*C12</f>
        <v>162862.99881497366</v>
      </c>
      <c r="J12" s="350">
        <f>+G12*D12</f>
        <v>393500.00000000006</v>
      </c>
      <c r="K12" s="350">
        <f>+H12-I12-J12</f>
        <v>-121362.99881497381</v>
      </c>
      <c r="L12" s="2"/>
      <c r="N12" s="27"/>
      <c r="O12" s="31"/>
      <c r="P12" s="31"/>
      <c r="Q12" s="31"/>
      <c r="R12" s="32"/>
      <c r="S12" s="28"/>
      <c r="T12" s="24"/>
      <c r="W12" s="31"/>
      <c r="X12" s="31"/>
      <c r="Y12" s="31"/>
      <c r="Z12" s="31"/>
      <c r="AA12" s="32"/>
      <c r="AB12" s="28"/>
      <c r="AC12" s="24"/>
      <c r="AD12" s="5"/>
    </row>
    <row r="13" spans="1:30" x14ac:dyDescent="0.25">
      <c r="A13" t="s">
        <v>290</v>
      </c>
      <c r="B13" s="301">
        <f>+'Data for Settlement &amp; 1st TU'!D46</f>
        <v>0.122</v>
      </c>
      <c r="C13" s="301">
        <f>+'Data for Settlement &amp; 1st TU'!$B$54</f>
        <v>3.2572599762994731E-2</v>
      </c>
      <c r="D13" s="301">
        <f>+'Data for Settlement &amp; 1st TU'!$B$57</f>
        <v>7.8700000000000006E-2</v>
      </c>
      <c r="E13" s="286">
        <f t="shared" ref="E13:E15" si="6">+C13+D13</f>
        <v>0.11127259976299474</v>
      </c>
      <c r="F13" s="287">
        <f t="shared" ref="F13:F15" si="7">+B13-E13</f>
        <v>1.0727400237005261E-2</v>
      </c>
      <c r="G13" s="373">
        <f>'Data for Settlement &amp; 1st TU'!C24</f>
        <v>2000000</v>
      </c>
      <c r="H13" s="350">
        <f t="shared" ref="H13:H15" si="8">+G13*B13</f>
        <v>244000</v>
      </c>
      <c r="I13" s="350">
        <f t="shared" ref="I13:I15" si="9">+G13*C13</f>
        <v>65145.199525989461</v>
      </c>
      <c r="J13" s="350">
        <f t="shared" ref="J13" si="10">+G13*D13</f>
        <v>157400</v>
      </c>
      <c r="K13" s="350">
        <f t="shared" ref="K13" si="11">+H13-I13-J13</f>
        <v>21454.800474010524</v>
      </c>
      <c r="L13" s="2"/>
      <c r="N13" s="27"/>
      <c r="O13" s="31"/>
      <c r="P13" s="31"/>
      <c r="Q13" s="31"/>
      <c r="R13" s="32"/>
      <c r="S13" s="28"/>
      <c r="T13" s="24"/>
      <c r="W13" s="31"/>
      <c r="X13" s="31"/>
      <c r="Y13" s="31"/>
      <c r="Z13" s="31"/>
      <c r="AA13" s="32"/>
      <c r="AB13" s="28"/>
      <c r="AC13" s="24"/>
      <c r="AD13" s="5"/>
    </row>
    <row r="14" spans="1:30" x14ac:dyDescent="0.25">
      <c r="A14" t="s">
        <v>291</v>
      </c>
      <c r="B14" s="301">
        <f>+'Data for Settlement &amp; 1st TU'!D47</f>
        <v>0.28599999999999998</v>
      </c>
      <c r="C14" s="301">
        <f>+'Data for Settlement &amp; 1st TU'!$B$54</f>
        <v>3.2572599762994731E-2</v>
      </c>
      <c r="D14" s="301">
        <f>+'Data for Settlement &amp; 1st TU'!$B$57</f>
        <v>7.8700000000000006E-2</v>
      </c>
      <c r="E14" s="286">
        <f>+C14+D14</f>
        <v>0.11127259976299474</v>
      </c>
      <c r="F14" s="287">
        <f>+B14-E14</f>
        <v>0.17472740023700523</v>
      </c>
      <c r="G14" s="373">
        <f>'Data for Settlement &amp; 1st TU'!C25</f>
        <v>1000000</v>
      </c>
      <c r="H14" s="350">
        <f>+G14*B14</f>
        <v>286000</v>
      </c>
      <c r="I14" s="350">
        <f>+G14*C14</f>
        <v>32572.599762994731</v>
      </c>
      <c r="J14" s="350">
        <f>+G14*D14</f>
        <v>78700</v>
      </c>
      <c r="K14" s="350">
        <f>+H14-I14-J14</f>
        <v>174727.40023700526</v>
      </c>
      <c r="L14" s="2"/>
      <c r="N14" s="27"/>
      <c r="O14" s="31"/>
      <c r="P14" s="31"/>
      <c r="Q14" s="31"/>
      <c r="R14" s="32"/>
      <c r="S14" s="28"/>
      <c r="T14" s="24"/>
      <c r="W14" s="31"/>
      <c r="X14" s="31"/>
      <c r="Y14" s="31"/>
      <c r="Z14" s="31"/>
      <c r="AA14" s="32"/>
      <c r="AB14" s="28"/>
      <c r="AC14" s="24"/>
      <c r="AD14" s="5"/>
    </row>
    <row r="15" spans="1:30" x14ac:dyDescent="0.25">
      <c r="A15" s="396" t="s">
        <v>292</v>
      </c>
      <c r="B15" s="301">
        <f>+'Data for Settlement &amp; 1st TU'!D48</f>
        <v>2.8000000000000001E-2</v>
      </c>
      <c r="C15" s="301">
        <f>+'Data for Settlement &amp; 1st TU'!$B$54</f>
        <v>3.2572599762994731E-2</v>
      </c>
      <c r="D15" s="301">
        <f>+'Data for Settlement &amp; 1st TU'!$B$57</f>
        <v>7.8700000000000006E-2</v>
      </c>
      <c r="E15" s="286">
        <f t="shared" si="6"/>
        <v>0.11127259976299474</v>
      </c>
      <c r="F15" s="287">
        <f t="shared" si="7"/>
        <v>-8.327259976299474E-2</v>
      </c>
      <c r="G15" s="373">
        <f>'Data for Settlement &amp; 1st TU'!C26</f>
        <v>4000000</v>
      </c>
      <c r="H15" s="350">
        <f t="shared" si="8"/>
        <v>112000</v>
      </c>
      <c r="I15" s="350">
        <f t="shared" si="9"/>
        <v>130290.39905197892</v>
      </c>
      <c r="J15" s="350">
        <f>+G15*D15</f>
        <v>314800</v>
      </c>
      <c r="K15" s="350">
        <f>+H15-I15-J15</f>
        <v>-333090.39905197895</v>
      </c>
      <c r="L15" s="2"/>
      <c r="N15" s="27"/>
      <c r="O15" s="31"/>
      <c r="P15" s="31"/>
      <c r="Q15" s="31"/>
      <c r="R15" s="32"/>
      <c r="S15" s="28"/>
      <c r="T15" s="24"/>
      <c r="W15" s="31"/>
      <c r="X15" s="31"/>
      <c r="Y15" s="31"/>
      <c r="Z15" s="31"/>
      <c r="AA15" s="32"/>
      <c r="AB15" s="28"/>
      <c r="AC15" s="24"/>
      <c r="AD15" s="5"/>
    </row>
    <row r="16" spans="1:30" ht="15.75" thickBot="1" x14ac:dyDescent="0.3">
      <c r="B16" s="397">
        <f>+H16/G16</f>
        <v>0.12090666666666666</v>
      </c>
      <c r="C16" s="131"/>
      <c r="D16" s="131"/>
      <c r="E16" s="131"/>
      <c r="F16" s="398"/>
      <c r="G16" s="298">
        <f>SUM(G7:G15)</f>
        <v>225000000</v>
      </c>
      <c r="H16" s="322">
        <f>SUM(H7:H15)</f>
        <v>27204000</v>
      </c>
      <c r="I16" s="322">
        <f>SUM(I7:I15)</f>
        <v>7328834.9466738151</v>
      </c>
      <c r="J16" s="322">
        <f>SUM(J7:J15)</f>
        <v>17707500</v>
      </c>
      <c r="K16" s="322">
        <f>SUM(K7:K15)</f>
        <v>2167665.0533261839</v>
      </c>
      <c r="L16" s="2"/>
      <c r="M16" s="6"/>
      <c r="Q16" s="24"/>
      <c r="R16" s="24"/>
      <c r="S16" s="6"/>
      <c r="T16" s="24"/>
      <c r="Z16" s="24"/>
      <c r="AA16" s="24"/>
      <c r="AB16" s="6"/>
      <c r="AC16" s="24"/>
      <c r="AD16" s="5"/>
    </row>
    <row r="17" spans="1:27" x14ac:dyDescent="0.25">
      <c r="I17" s="5"/>
    </row>
    <row r="18" spans="1:27" ht="18.75" x14ac:dyDescent="0.3">
      <c r="A18" s="21" t="s">
        <v>410</v>
      </c>
      <c r="M18" s="10"/>
      <c r="V18" s="10"/>
      <c r="AA18" s="25"/>
    </row>
    <row r="19" spans="1:27" x14ac:dyDescent="0.25">
      <c r="A19" s="10"/>
      <c r="M19" s="10"/>
      <c r="N19" s="13"/>
      <c r="O19" s="13"/>
      <c r="P19" s="13"/>
      <c r="Q19" s="13"/>
      <c r="R19" s="13"/>
      <c r="S19" s="13"/>
      <c r="T19" s="13"/>
      <c r="V19" s="10"/>
      <c r="W19" s="13"/>
      <c r="X19" s="13"/>
      <c r="Y19" s="13"/>
      <c r="AA19" s="25"/>
    </row>
    <row r="20" spans="1:27" x14ac:dyDescent="0.25">
      <c r="A20" s="10" t="s">
        <v>131</v>
      </c>
      <c r="N20" s="9"/>
      <c r="O20" s="6"/>
      <c r="P20" s="24"/>
      <c r="Q20" s="24"/>
      <c r="R20" s="24"/>
      <c r="S20" s="4"/>
      <c r="T20" s="4"/>
      <c r="W20" s="9"/>
      <c r="X20" s="6"/>
      <c r="Y20" s="24"/>
      <c r="AA20" s="25"/>
    </row>
    <row r="21" spans="1:27" ht="30" x14ac:dyDescent="0.25">
      <c r="A21" s="33" t="s">
        <v>35</v>
      </c>
      <c r="B21" s="34" t="s">
        <v>16</v>
      </c>
      <c r="C21" s="35" t="s">
        <v>67</v>
      </c>
      <c r="D21" s="34" t="s">
        <v>270</v>
      </c>
      <c r="E21" s="35" t="s">
        <v>27</v>
      </c>
      <c r="F21" s="34" t="s">
        <v>7</v>
      </c>
      <c r="G21" s="34" t="s">
        <v>14</v>
      </c>
      <c r="H21" s="35" t="s">
        <v>77</v>
      </c>
      <c r="I21" s="35" t="s">
        <v>73</v>
      </c>
      <c r="J21" s="35" t="s">
        <v>75</v>
      </c>
      <c r="K21" s="35" t="s">
        <v>168</v>
      </c>
      <c r="N21" s="9"/>
      <c r="O21" s="6"/>
      <c r="P21" s="24"/>
      <c r="Q21" s="24"/>
      <c r="R21" s="24"/>
      <c r="S21" s="4"/>
      <c r="T21" s="4"/>
      <c r="W21" s="9"/>
      <c r="X21" s="6"/>
      <c r="Y21" s="24"/>
      <c r="AA21" s="25"/>
    </row>
    <row r="22" spans="1:27" x14ac:dyDescent="0.25">
      <c r="A22" s="36" t="s">
        <v>2</v>
      </c>
      <c r="B22" s="38">
        <f>+'Data for Settlement &amp; 1st TU'!I40</f>
        <v>0.10299999999999999</v>
      </c>
      <c r="C22" s="347">
        <f>+'Data for Settlement &amp; 1st TU'!$G$54</f>
        <v>3.3122232598371396E-2</v>
      </c>
      <c r="D22" s="38">
        <f>+'Data for Settlement &amp; 1st TU'!$G$59</f>
        <v>8.8359370314842575E-2</v>
      </c>
      <c r="E22" s="347">
        <f>+C22+D22</f>
        <v>0.12148160291321397</v>
      </c>
      <c r="F22" s="399">
        <f>+B22-E22</f>
        <v>-1.8481602913213976E-2</v>
      </c>
      <c r="G22" s="16">
        <f>'Data for Settlement &amp; 1st TU'!H18</f>
        <v>5002499.9999999944</v>
      </c>
      <c r="H22" s="4">
        <f>+G22*B22</f>
        <v>515257.49999999942</v>
      </c>
      <c r="I22" s="107">
        <f>+G22*C22</f>
        <v>165693.96857335273</v>
      </c>
      <c r="J22" s="4">
        <f>+G22*D22</f>
        <v>442017.74999999948</v>
      </c>
      <c r="K22" s="107">
        <f>+H22-I22-J22</f>
        <v>-92454.218573352788</v>
      </c>
      <c r="P22" s="24"/>
      <c r="Q22" s="24"/>
      <c r="R22" s="24"/>
      <c r="S22" s="24"/>
      <c r="T22" s="24"/>
      <c r="Y22" s="24"/>
      <c r="AA22" s="25"/>
    </row>
    <row r="23" spans="1:27" x14ac:dyDescent="0.25">
      <c r="A23" s="39" t="s">
        <v>3</v>
      </c>
      <c r="B23" s="31">
        <f>+'Data for Settlement &amp; 1st TU'!I41</f>
        <v>0.125</v>
      </c>
      <c r="C23" s="286">
        <f>+'Data for Settlement &amp; 1st TU'!$G$54</f>
        <v>3.3122232598371396E-2</v>
      </c>
      <c r="D23" s="31">
        <f>+'Data for Settlement &amp; 1st TU'!$G$59</f>
        <v>8.8359370314842575E-2</v>
      </c>
      <c r="E23" s="286">
        <f t="shared" ref="E23:E30" si="12">+C23+D23</f>
        <v>0.12148160291321397</v>
      </c>
      <c r="F23" s="287">
        <f t="shared" ref="F23:F30" si="13">+B23-E23</f>
        <v>3.5183970867860292E-3</v>
      </c>
      <c r="G23" s="16">
        <f>'Data for Settlement &amp; 1st TU'!H19</f>
        <v>7003500</v>
      </c>
      <c r="H23" s="4">
        <f t="shared" ref="H23:H26" si="14">+G23*B23</f>
        <v>875437.5</v>
      </c>
      <c r="I23" s="107">
        <f t="shared" ref="I23:I26" si="15">+G23*C23</f>
        <v>231971.55600269407</v>
      </c>
      <c r="J23" s="4">
        <f t="shared" ref="J23:J26" si="16">+G23*D23</f>
        <v>618824.85</v>
      </c>
      <c r="K23" s="107">
        <f t="shared" ref="K23:K26" si="17">+H23-I23-J23</f>
        <v>24641.093997305958</v>
      </c>
      <c r="AA23" s="25"/>
    </row>
    <row r="24" spans="1:27" x14ac:dyDescent="0.25">
      <c r="A24" s="39" t="s">
        <v>286</v>
      </c>
      <c r="B24" s="301">
        <f>+'Data for Settlement &amp; 1st TU'!I42</f>
        <v>8.6999999999999994E-2</v>
      </c>
      <c r="C24" s="286">
        <f>+'Data for Settlement &amp; 1st TU'!$G$54</f>
        <v>3.3122232598371396E-2</v>
      </c>
      <c r="D24" s="301">
        <f>+'Data for Settlement &amp; 1st TU'!$G$59</f>
        <v>8.8359370314842575E-2</v>
      </c>
      <c r="E24" s="286">
        <f t="shared" si="12"/>
        <v>0.12148160291321397</v>
      </c>
      <c r="F24" s="287">
        <f t="shared" si="13"/>
        <v>-3.4481602913213977E-2</v>
      </c>
      <c r="G24" s="372">
        <f>'Data for Settlement &amp; 1st TU'!H20</f>
        <v>95047500</v>
      </c>
      <c r="H24" s="111">
        <f t="shared" si="14"/>
        <v>8269132.4999999991</v>
      </c>
      <c r="I24" s="107">
        <f t="shared" si="15"/>
        <v>3148185.4028937053</v>
      </c>
      <c r="J24" s="111">
        <f t="shared" si="16"/>
        <v>8398337.25</v>
      </c>
      <c r="K24" s="107">
        <f t="shared" si="17"/>
        <v>-3277390.1528937062</v>
      </c>
      <c r="M24" s="10"/>
      <c r="V24" s="10"/>
    </row>
    <row r="25" spans="1:27" x14ac:dyDescent="0.25">
      <c r="A25" s="39" t="s">
        <v>287</v>
      </c>
      <c r="B25" s="301">
        <f>+'Data for Settlement &amp; 1st TU'!I43</f>
        <v>0.122</v>
      </c>
      <c r="C25" s="286">
        <f>+'Data for Settlement &amp; 1st TU'!$G$54</f>
        <v>3.3122232598371396E-2</v>
      </c>
      <c r="D25" s="301">
        <f>+'Data for Settlement &amp; 1st TU'!$G$59</f>
        <v>8.8359370314842575E-2</v>
      </c>
      <c r="E25" s="286">
        <f t="shared" si="12"/>
        <v>0.12148160291321397</v>
      </c>
      <c r="F25" s="287">
        <f t="shared" si="13"/>
        <v>5.1839708678602658E-4</v>
      </c>
      <c r="G25" s="372">
        <f>'Data for Settlement &amp; 1st TU'!H21</f>
        <v>47023500</v>
      </c>
      <c r="H25" s="111">
        <f t="shared" si="14"/>
        <v>5736867</v>
      </c>
      <c r="I25" s="107">
        <f t="shared" si="15"/>
        <v>1557523.3045895174</v>
      </c>
      <c r="J25" s="111">
        <f t="shared" si="16"/>
        <v>4154966.8499999996</v>
      </c>
      <c r="K25" s="107">
        <f t="shared" si="17"/>
        <v>24376.845410482958</v>
      </c>
      <c r="P25" s="5"/>
      <c r="Q25" s="5"/>
      <c r="R25" s="5"/>
      <c r="S25" s="5"/>
      <c r="T25" s="5"/>
      <c r="Y25" s="5"/>
    </row>
    <row r="26" spans="1:27" x14ac:dyDescent="0.25">
      <c r="A26" s="39" t="s">
        <v>288</v>
      </c>
      <c r="B26" s="301">
        <f>+'Data for Settlement &amp; 1st TU'!I44</f>
        <v>0.182</v>
      </c>
      <c r="C26" s="286">
        <f>+'Data for Settlement &amp; 1st TU'!$G$54</f>
        <v>3.3122232598371396E-2</v>
      </c>
      <c r="D26" s="301">
        <f>+'Data for Settlement &amp; 1st TU'!$G$59</f>
        <v>8.8359370314842575E-2</v>
      </c>
      <c r="E26" s="286">
        <f t="shared" si="12"/>
        <v>0.12148160291321397</v>
      </c>
      <c r="F26" s="287">
        <f t="shared" si="13"/>
        <v>6.0518397086786024E-2</v>
      </c>
      <c r="G26" s="372">
        <f>'Data for Settlement &amp; 1st TU'!H22</f>
        <v>59029500.000000007</v>
      </c>
      <c r="H26" s="111">
        <f t="shared" si="14"/>
        <v>10743369.000000002</v>
      </c>
      <c r="I26" s="107">
        <f t="shared" si="15"/>
        <v>1955188.8291655646</v>
      </c>
      <c r="J26" s="111">
        <f t="shared" si="16"/>
        <v>5215809.45</v>
      </c>
      <c r="K26" s="107">
        <f t="shared" si="17"/>
        <v>3572370.7208344368</v>
      </c>
      <c r="P26" s="5"/>
      <c r="Q26" s="5"/>
      <c r="R26" s="5"/>
      <c r="S26" s="5"/>
      <c r="T26" s="5"/>
      <c r="Y26" s="5"/>
    </row>
    <row r="27" spans="1:27" x14ac:dyDescent="0.25">
      <c r="A27" s="39" t="s">
        <v>289</v>
      </c>
      <c r="B27" s="301">
        <f>+'Data for Settlement &amp; 1st TU'!I45</f>
        <v>8.6999999999999994E-2</v>
      </c>
      <c r="C27" s="286">
        <f>+'Data for Settlement &amp; 1st TU'!$G$54</f>
        <v>3.3122232598371396E-2</v>
      </c>
      <c r="D27" s="301">
        <f>+'Data for Settlement &amp; 1st TU'!$G$59</f>
        <v>8.8359370314842575E-2</v>
      </c>
      <c r="E27" s="286">
        <f>+C27+D27</f>
        <v>0.12148160291321397</v>
      </c>
      <c r="F27" s="287">
        <f>+B27-E27</f>
        <v>-3.4481602913213977E-2</v>
      </c>
      <c r="G27" s="372">
        <f>'Data for Settlement &amp; 1st TU'!H23</f>
        <v>5002500</v>
      </c>
      <c r="H27" s="111">
        <f>+G27*B27</f>
        <v>435217.49999999994</v>
      </c>
      <c r="I27" s="107">
        <f>+G27*C27</f>
        <v>165693.9685733529</v>
      </c>
      <c r="J27" s="111">
        <f>+G27*D27</f>
        <v>442017.75</v>
      </c>
      <c r="K27" s="107">
        <f>+H27-I27-J27</f>
        <v>-172494.21857335296</v>
      </c>
      <c r="P27" s="5"/>
      <c r="Q27" s="5"/>
      <c r="R27" s="5"/>
      <c r="S27" s="5"/>
      <c r="T27" s="5"/>
      <c r="Y27" s="5"/>
    </row>
    <row r="28" spans="1:27" x14ac:dyDescent="0.25">
      <c r="A28" s="39" t="s">
        <v>290</v>
      </c>
      <c r="B28" s="301">
        <f>+'Data for Settlement &amp; 1st TU'!I46</f>
        <v>0.122</v>
      </c>
      <c r="C28" s="286">
        <f>+'Data for Settlement &amp; 1st TU'!$G$54</f>
        <v>3.3122232598371396E-2</v>
      </c>
      <c r="D28" s="301">
        <f>+'Data for Settlement &amp; 1st TU'!$G$59</f>
        <v>8.8359370314842575E-2</v>
      </c>
      <c r="E28" s="286">
        <f t="shared" si="12"/>
        <v>0.12148160291321397</v>
      </c>
      <c r="F28" s="287">
        <f t="shared" si="13"/>
        <v>5.1839708678602658E-4</v>
      </c>
      <c r="G28" s="372">
        <f>'Data for Settlement &amp; 1st TU'!H24</f>
        <v>2001000</v>
      </c>
      <c r="H28" s="111">
        <f t="shared" ref="H28:H30" si="18">+G28*B28</f>
        <v>244122</v>
      </c>
      <c r="I28" s="107">
        <f t="shared" ref="I28:I30" si="19">+G28*C28</f>
        <v>66277.587429341162</v>
      </c>
      <c r="J28" s="111">
        <f t="shared" ref="J28:J30" si="20">+G28*D28</f>
        <v>176807.1</v>
      </c>
      <c r="K28" s="107">
        <f t="shared" ref="K28:K30" si="21">+H28-I28-J28</f>
        <v>1037.3125706588326</v>
      </c>
      <c r="P28" s="5"/>
      <c r="Q28" s="5"/>
      <c r="R28" s="5"/>
      <c r="S28" s="5"/>
      <c r="T28" s="5"/>
      <c r="Y28" s="5"/>
    </row>
    <row r="29" spans="1:27" x14ac:dyDescent="0.25">
      <c r="A29" s="39" t="s">
        <v>291</v>
      </c>
      <c r="B29" s="301">
        <f>+'Data for Settlement &amp; 1st TU'!I47</f>
        <v>0.28599999999999998</v>
      </c>
      <c r="C29" s="286">
        <f>+'Data for Settlement &amp; 1st TU'!$G$54</f>
        <v>3.3122232598371396E-2</v>
      </c>
      <c r="D29" s="301">
        <f>+'Data for Settlement &amp; 1st TU'!$G$59</f>
        <v>8.8359370314842575E-2</v>
      </c>
      <c r="E29" s="286">
        <f>+C29+D29</f>
        <v>0.12148160291321397</v>
      </c>
      <c r="F29" s="287">
        <f>+B29-E29</f>
        <v>0.16451839708678601</v>
      </c>
      <c r="G29" s="372">
        <f>'Data for Settlement &amp; 1st TU'!H25</f>
        <v>1000500</v>
      </c>
      <c r="H29" s="111">
        <f>+G29*B29</f>
        <v>286143</v>
      </c>
      <c r="I29" s="107">
        <f>+G29*C29</f>
        <v>33138.793714670581</v>
      </c>
      <c r="J29" s="111">
        <f>+G29*D29</f>
        <v>88403.55</v>
      </c>
      <c r="K29" s="107">
        <f>+H29-I29-J29</f>
        <v>164600.65628532943</v>
      </c>
      <c r="P29" s="5"/>
      <c r="Q29" s="5"/>
      <c r="R29" s="5"/>
      <c r="S29" s="5"/>
      <c r="T29" s="5"/>
      <c r="Y29" s="5"/>
    </row>
    <row r="30" spans="1:27" x14ac:dyDescent="0.25">
      <c r="A30" s="424" t="s">
        <v>292</v>
      </c>
      <c r="B30" s="301">
        <f>+'Data for Settlement &amp; 1st TU'!I48</f>
        <v>2.8000000000000001E-2</v>
      </c>
      <c r="C30" s="286">
        <f>+'Data for Settlement &amp; 1st TU'!$G$54</f>
        <v>3.3122232598371396E-2</v>
      </c>
      <c r="D30" s="301">
        <f>+'Data for Settlement &amp; 1st TU'!$G$59</f>
        <v>8.8359370314842575E-2</v>
      </c>
      <c r="E30" s="286">
        <f t="shared" si="12"/>
        <v>0.12148160291321397</v>
      </c>
      <c r="F30" s="287">
        <f t="shared" si="13"/>
        <v>-9.3481602913213974E-2</v>
      </c>
      <c r="G30" s="372">
        <f>'Data for Settlement &amp; 1st TU'!H26</f>
        <v>4002000</v>
      </c>
      <c r="H30" s="111">
        <f t="shared" si="18"/>
        <v>112056</v>
      </c>
      <c r="I30" s="107">
        <f t="shared" si="19"/>
        <v>132555.17485868232</v>
      </c>
      <c r="J30" s="111">
        <f t="shared" si="20"/>
        <v>353614.2</v>
      </c>
      <c r="K30" s="107">
        <f t="shared" si="21"/>
        <v>-374113.37485868233</v>
      </c>
      <c r="N30" s="5"/>
      <c r="P30" s="5"/>
      <c r="Q30" s="5"/>
      <c r="R30" s="5"/>
      <c r="S30" s="5"/>
      <c r="T30" s="5"/>
      <c r="Y30" s="5"/>
    </row>
    <row r="31" spans="1:27" ht="15.75" thickBot="1" x14ac:dyDescent="0.3">
      <c r="B31" s="397">
        <f>+H31/G31</f>
        <v>0.12090666666666666</v>
      </c>
      <c r="C31" s="108"/>
      <c r="D31" s="108"/>
      <c r="E31" s="108"/>
      <c r="F31" s="108"/>
      <c r="G31" s="298">
        <f>SUM(G22:G30)</f>
        <v>225112500</v>
      </c>
      <c r="H31" s="321">
        <f>SUM(H22:H30)</f>
        <v>27217602</v>
      </c>
      <c r="I31" s="291">
        <f>SUM(I22:I30)</f>
        <v>7456228.5858008824</v>
      </c>
      <c r="J31" s="321">
        <f>SUM(J22:J30)</f>
        <v>19890798.75</v>
      </c>
      <c r="K31" s="291">
        <f>SUM(K22:K30)</f>
        <v>-129425.33580088054</v>
      </c>
      <c r="P31" s="24"/>
      <c r="Q31" s="24"/>
      <c r="R31" s="24"/>
      <c r="S31" s="24"/>
      <c r="T31" s="24"/>
      <c r="Y31" s="24"/>
    </row>
    <row r="32" spans="1:27" x14ac:dyDescent="0.25">
      <c r="J32" s="1"/>
    </row>
    <row r="33" spans="1:14" ht="18.75" x14ac:dyDescent="0.3">
      <c r="A33" s="21" t="s">
        <v>136</v>
      </c>
    </row>
    <row r="34" spans="1:14" ht="18.75" x14ac:dyDescent="0.3">
      <c r="A34" s="21"/>
    </row>
    <row r="35" spans="1:14" x14ac:dyDescent="0.25">
      <c r="A35" s="10" t="s">
        <v>123</v>
      </c>
    </row>
    <row r="36" spans="1:14" ht="30" x14ac:dyDescent="0.25">
      <c r="A36" s="52" t="s">
        <v>56</v>
      </c>
      <c r="B36" s="34" t="s">
        <v>16</v>
      </c>
      <c r="C36" s="35" t="s">
        <v>72</v>
      </c>
      <c r="D36" s="35" t="s">
        <v>54</v>
      </c>
      <c r="E36" s="35" t="s">
        <v>27</v>
      </c>
      <c r="F36" s="34" t="s">
        <v>7</v>
      </c>
      <c r="G36" s="34" t="s">
        <v>14</v>
      </c>
      <c r="H36" s="35" t="s">
        <v>78</v>
      </c>
      <c r="I36" s="35" t="s">
        <v>79</v>
      </c>
      <c r="J36" s="35" t="s">
        <v>80</v>
      </c>
      <c r="K36" s="35" t="s">
        <v>169</v>
      </c>
    </row>
    <row r="37" spans="1:14" x14ac:dyDescent="0.25">
      <c r="A37" s="36" t="s">
        <v>2</v>
      </c>
      <c r="B37" s="400">
        <f>+B7-B22</f>
        <v>0</v>
      </c>
      <c r="C37" s="347">
        <f t="shared" ref="B37:G45" si="22">+C7-C22</f>
        <v>-5.4963283537666496E-4</v>
      </c>
      <c r="D37" s="369">
        <f t="shared" si="22"/>
        <v>-9.6593703148425691E-3</v>
      </c>
      <c r="E37" s="347">
        <f t="shared" si="22"/>
        <v>-1.0209003150219234E-2</v>
      </c>
      <c r="F37" s="399">
        <f t="shared" si="22"/>
        <v>1.0209003150219234E-2</v>
      </c>
      <c r="G37" s="372">
        <f t="shared" si="22"/>
        <v>-2500</v>
      </c>
      <c r="H37" s="111">
        <f t="shared" ref="H37:J45" si="23">+H22-H7</f>
        <v>257.5</v>
      </c>
      <c r="I37" s="107">
        <f t="shared" si="23"/>
        <v>2830.969758379244</v>
      </c>
      <c r="J37" s="111">
        <f t="shared" si="23"/>
        <v>48517.749999999884</v>
      </c>
      <c r="K37" s="107">
        <f>+H37-I37-J37</f>
        <v>-51091.219758379128</v>
      </c>
      <c r="M37" s="5"/>
      <c r="N37" s="29"/>
    </row>
    <row r="38" spans="1:14" x14ac:dyDescent="0.25">
      <c r="A38" s="39" t="s">
        <v>3</v>
      </c>
      <c r="B38" s="401">
        <f t="shared" si="22"/>
        <v>0</v>
      </c>
      <c r="C38" s="286">
        <f t="shared" si="22"/>
        <v>-5.4963283537666496E-4</v>
      </c>
      <c r="D38" s="301">
        <f t="shared" si="22"/>
        <v>-9.6593703148425691E-3</v>
      </c>
      <c r="E38" s="286">
        <f t="shared" si="22"/>
        <v>-1.0209003150219234E-2</v>
      </c>
      <c r="F38" s="287">
        <f t="shared" si="22"/>
        <v>1.0209003150219234E-2</v>
      </c>
      <c r="G38" s="372">
        <f t="shared" si="22"/>
        <v>-3500</v>
      </c>
      <c r="H38" s="111">
        <f t="shared" si="23"/>
        <v>437.5</v>
      </c>
      <c r="I38" s="107">
        <f t="shared" si="23"/>
        <v>3963.3576617309591</v>
      </c>
      <c r="J38" s="111">
        <f t="shared" si="23"/>
        <v>67924.849999999977</v>
      </c>
      <c r="K38" s="107">
        <f t="shared" ref="K38:K41" si="24">+H38-I38-J38</f>
        <v>-71450.707661730936</v>
      </c>
      <c r="M38" s="5"/>
      <c r="N38" s="29"/>
    </row>
    <row r="39" spans="1:14" x14ac:dyDescent="0.25">
      <c r="A39" s="39" t="s">
        <v>286</v>
      </c>
      <c r="B39" s="401">
        <f t="shared" si="22"/>
        <v>0</v>
      </c>
      <c r="C39" s="286">
        <f t="shared" si="22"/>
        <v>-5.4963283537666496E-4</v>
      </c>
      <c r="D39" s="301">
        <f t="shared" si="22"/>
        <v>-9.6593703148425691E-3</v>
      </c>
      <c r="E39" s="286">
        <f t="shared" si="22"/>
        <v>-1.0209003150219234E-2</v>
      </c>
      <c r="F39" s="287">
        <f t="shared" si="22"/>
        <v>1.0209003150219234E-2</v>
      </c>
      <c r="G39" s="372">
        <f t="shared" si="22"/>
        <v>-47500</v>
      </c>
      <c r="H39" s="111">
        <f t="shared" si="23"/>
        <v>4132.5</v>
      </c>
      <c r="I39" s="107">
        <f t="shared" si="23"/>
        <v>53788.425409205724</v>
      </c>
      <c r="J39" s="111">
        <f t="shared" si="23"/>
        <v>921837.24999999907</v>
      </c>
      <c r="K39" s="107">
        <f t="shared" si="24"/>
        <v>-971493.17540920479</v>
      </c>
      <c r="M39" s="5"/>
      <c r="N39" s="29"/>
    </row>
    <row r="40" spans="1:14" x14ac:dyDescent="0.25">
      <c r="A40" s="39" t="s">
        <v>287</v>
      </c>
      <c r="B40" s="401">
        <f t="shared" si="22"/>
        <v>0</v>
      </c>
      <c r="C40" s="286">
        <f t="shared" si="22"/>
        <v>-5.4963283537666496E-4</v>
      </c>
      <c r="D40" s="301">
        <f t="shared" si="22"/>
        <v>-9.6593703148425691E-3</v>
      </c>
      <c r="E40" s="286">
        <f t="shared" si="22"/>
        <v>-1.0209003150219234E-2</v>
      </c>
      <c r="F40" s="287">
        <f t="shared" si="22"/>
        <v>1.0209003150219234E-2</v>
      </c>
      <c r="G40" s="372">
        <f t="shared" si="22"/>
        <v>-23500</v>
      </c>
      <c r="H40" s="111">
        <f t="shared" si="23"/>
        <v>2867</v>
      </c>
      <c r="I40" s="107">
        <f t="shared" si="23"/>
        <v>26611.115728765028</v>
      </c>
      <c r="J40" s="111">
        <f t="shared" si="23"/>
        <v>456066.84999999916</v>
      </c>
      <c r="K40" s="107">
        <f t="shared" si="24"/>
        <v>-479810.96572876419</v>
      </c>
      <c r="M40" s="5"/>
      <c r="N40" s="29"/>
    </row>
    <row r="41" spans="1:14" x14ac:dyDescent="0.25">
      <c r="A41" s="39" t="s">
        <v>288</v>
      </c>
      <c r="B41" s="401">
        <f t="shared" si="22"/>
        <v>0</v>
      </c>
      <c r="C41" s="286">
        <f t="shared" si="22"/>
        <v>-5.4963283537666496E-4</v>
      </c>
      <c r="D41" s="301">
        <f t="shared" si="22"/>
        <v>-9.6593703148425691E-3</v>
      </c>
      <c r="E41" s="286">
        <f t="shared" si="22"/>
        <v>-1.0209003150219234E-2</v>
      </c>
      <c r="F41" s="287">
        <f t="shared" si="22"/>
        <v>1.0209003150219234E-2</v>
      </c>
      <c r="G41" s="373">
        <f t="shared" si="22"/>
        <v>-29500</v>
      </c>
      <c r="H41" s="111">
        <f t="shared" si="23"/>
        <v>5369</v>
      </c>
      <c r="I41" s="107">
        <f t="shared" si="23"/>
        <v>33405.443148875376</v>
      </c>
      <c r="J41" s="111">
        <f t="shared" si="23"/>
        <v>572509.44999999925</v>
      </c>
      <c r="K41" s="107">
        <f t="shared" si="24"/>
        <v>-600545.89314887463</v>
      </c>
      <c r="M41" s="5"/>
      <c r="N41" s="29"/>
    </row>
    <row r="42" spans="1:14" x14ac:dyDescent="0.25">
      <c r="A42" s="39" t="s">
        <v>289</v>
      </c>
      <c r="B42" s="401">
        <f t="shared" si="22"/>
        <v>0</v>
      </c>
      <c r="C42" s="286">
        <f t="shared" si="22"/>
        <v>-5.4963283537666496E-4</v>
      </c>
      <c r="D42" s="301">
        <f t="shared" si="22"/>
        <v>-9.6593703148425691E-3</v>
      </c>
      <c r="E42" s="286">
        <f t="shared" si="22"/>
        <v>-1.0209003150219234E-2</v>
      </c>
      <c r="F42" s="287">
        <f t="shared" si="22"/>
        <v>1.0209003150219234E-2</v>
      </c>
      <c r="G42" s="373">
        <f t="shared" si="22"/>
        <v>-2500</v>
      </c>
      <c r="H42" s="111">
        <f t="shared" si="23"/>
        <v>217.5</v>
      </c>
      <c r="I42" s="107">
        <f t="shared" si="23"/>
        <v>2830.969758379244</v>
      </c>
      <c r="J42" s="111">
        <f t="shared" si="23"/>
        <v>48517.749999999942</v>
      </c>
      <c r="K42" s="107">
        <f>+H42-I42-J42</f>
        <v>-51131.219758379186</v>
      </c>
      <c r="M42" s="5"/>
      <c r="N42" s="29"/>
    </row>
    <row r="43" spans="1:14" x14ac:dyDescent="0.25">
      <c r="A43" s="39" t="s">
        <v>290</v>
      </c>
      <c r="B43" s="401">
        <f t="shared" si="22"/>
        <v>0</v>
      </c>
      <c r="C43" s="286">
        <f t="shared" si="22"/>
        <v>-5.4963283537666496E-4</v>
      </c>
      <c r="D43" s="301">
        <f t="shared" si="22"/>
        <v>-9.6593703148425691E-3</v>
      </c>
      <c r="E43" s="286">
        <f t="shared" si="22"/>
        <v>-1.0209003150219234E-2</v>
      </c>
      <c r="F43" s="287">
        <f t="shared" si="22"/>
        <v>1.0209003150219234E-2</v>
      </c>
      <c r="G43" s="373">
        <f t="shared" si="22"/>
        <v>-1000</v>
      </c>
      <c r="H43" s="111">
        <f t="shared" si="23"/>
        <v>122</v>
      </c>
      <c r="I43" s="107">
        <f t="shared" si="23"/>
        <v>1132.3879033517005</v>
      </c>
      <c r="J43" s="111">
        <f t="shared" si="23"/>
        <v>19407.100000000006</v>
      </c>
      <c r="K43" s="107">
        <f t="shared" ref="K43:K45" si="25">+H43-I43-J43</f>
        <v>-20417.487903351706</v>
      </c>
      <c r="M43" s="5"/>
      <c r="N43" s="29"/>
    </row>
    <row r="44" spans="1:14" x14ac:dyDescent="0.25">
      <c r="A44" s="39" t="s">
        <v>291</v>
      </c>
      <c r="B44" s="401">
        <f t="shared" si="22"/>
        <v>0</v>
      </c>
      <c r="C44" s="286">
        <f t="shared" si="22"/>
        <v>-5.4963283537666496E-4</v>
      </c>
      <c r="D44" s="301">
        <f t="shared" si="22"/>
        <v>-9.6593703148425691E-3</v>
      </c>
      <c r="E44" s="286">
        <f t="shared" si="22"/>
        <v>-1.0209003150219234E-2</v>
      </c>
      <c r="F44" s="287">
        <f t="shared" si="22"/>
        <v>1.020900315021922E-2</v>
      </c>
      <c r="G44" s="373">
        <f t="shared" si="22"/>
        <v>-500</v>
      </c>
      <c r="H44" s="111">
        <f t="shared" si="23"/>
        <v>143</v>
      </c>
      <c r="I44" s="107">
        <f t="shared" si="23"/>
        <v>566.19395167585026</v>
      </c>
      <c r="J44" s="111">
        <f t="shared" si="23"/>
        <v>9703.5500000000029</v>
      </c>
      <c r="K44" s="107">
        <f>+H44-I44-J44</f>
        <v>-10126.743951675853</v>
      </c>
      <c r="M44" s="5"/>
      <c r="N44" s="29"/>
    </row>
    <row r="45" spans="1:14" x14ac:dyDescent="0.25">
      <c r="A45" s="424" t="s">
        <v>292</v>
      </c>
      <c r="B45" s="402">
        <f t="shared" si="22"/>
        <v>0</v>
      </c>
      <c r="C45" s="289">
        <f t="shared" si="22"/>
        <v>-5.4963283537666496E-4</v>
      </c>
      <c r="D45" s="370">
        <f t="shared" si="22"/>
        <v>-9.6593703148425691E-3</v>
      </c>
      <c r="E45" s="289">
        <f t="shared" si="22"/>
        <v>-1.0209003150219234E-2</v>
      </c>
      <c r="F45" s="290">
        <f t="shared" si="22"/>
        <v>1.0209003150219234E-2</v>
      </c>
      <c r="G45" s="403">
        <f t="shared" si="22"/>
        <v>-2000</v>
      </c>
      <c r="H45" s="404">
        <f t="shared" si="23"/>
        <v>56</v>
      </c>
      <c r="I45" s="294">
        <f t="shared" si="23"/>
        <v>2264.775806703401</v>
      </c>
      <c r="J45" s="404">
        <f t="shared" si="23"/>
        <v>38814.200000000012</v>
      </c>
      <c r="K45" s="294">
        <f t="shared" si="25"/>
        <v>-41022.975806703413</v>
      </c>
      <c r="M45" s="5"/>
      <c r="N45" s="29"/>
    </row>
    <row r="46" spans="1:14" ht="15.75" thickBot="1" x14ac:dyDescent="0.3">
      <c r="B46" s="366"/>
      <c r="C46" s="108"/>
      <c r="D46" s="108"/>
      <c r="E46" s="108"/>
      <c r="F46" s="108"/>
      <c r="G46" s="319">
        <f>SUM(G37:G45)</f>
        <v>-112500</v>
      </c>
      <c r="H46" s="320">
        <f>SUM(H37:H45)</f>
        <v>13602</v>
      </c>
      <c r="I46" s="295">
        <f t="shared" ref="I46:K46" si="26">SUM(I37:I45)</f>
        <v>127393.63912706653</v>
      </c>
      <c r="J46" s="320">
        <f t="shared" si="26"/>
        <v>2183298.7499999972</v>
      </c>
      <c r="K46" s="295">
        <f t="shared" si="26"/>
        <v>-2297090.389127064</v>
      </c>
    </row>
    <row r="47" spans="1:14" ht="15.75" thickTop="1" x14ac:dyDescent="0.25"/>
    <row r="48" spans="1:14" x14ac:dyDescent="0.25">
      <c r="K48" s="24"/>
    </row>
    <row r="49" spans="1:11" x14ac:dyDescent="0.25">
      <c r="K49" s="5"/>
    </row>
    <row r="50" spans="1:11" ht="17.25" x14ac:dyDescent="0.25">
      <c r="A50" t="s">
        <v>271</v>
      </c>
    </row>
  </sheetData>
  <pageMargins left="0.7" right="0.7" top="0.75" bottom="0.75" header="0.3" footer="0.3"/>
  <pageSetup paperSize="5"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30"/>
  <sheetViews>
    <sheetView showGridLines="0" topLeftCell="A84" workbookViewId="0">
      <selection activeCell="A8" sqref="A8"/>
    </sheetView>
  </sheetViews>
  <sheetFormatPr defaultRowHeight="15" x14ac:dyDescent="0.25"/>
  <cols>
    <col min="1" max="1" width="69.7109375" customWidth="1"/>
    <col min="2" max="2" width="13.28515625" bestFit="1" customWidth="1"/>
    <col min="3" max="3" width="18.85546875" customWidth="1"/>
    <col min="4" max="4" width="14.7109375" customWidth="1"/>
    <col min="5" max="5" width="6.28515625" customWidth="1"/>
    <col min="6" max="6" width="69.28515625" customWidth="1"/>
    <col min="7" max="7" width="14.7109375" customWidth="1"/>
    <col min="8" max="8" width="15" bestFit="1" customWidth="1"/>
    <col min="9" max="9" width="14.7109375" customWidth="1"/>
    <col min="10" max="10" width="6.28515625" customWidth="1"/>
    <col min="11" max="11" width="13.7109375" customWidth="1"/>
    <col min="12" max="12" width="13.7109375" bestFit="1" customWidth="1"/>
    <col min="13" max="13" width="14.7109375" customWidth="1"/>
    <col min="14" max="14" width="13.28515625" bestFit="1" customWidth="1"/>
    <col min="15" max="15" width="13.7109375" bestFit="1" customWidth="1"/>
    <col min="16" max="16" width="15" bestFit="1" customWidth="1"/>
    <col min="17" max="17" width="8.5703125" bestFit="1" customWidth="1"/>
    <col min="18" max="21" width="14.7109375" customWidth="1"/>
    <col min="22" max="22" width="13.28515625" customWidth="1"/>
    <col min="23" max="23" width="13.42578125" customWidth="1"/>
    <col min="24" max="24" width="12.42578125" customWidth="1"/>
    <col min="25" max="25" width="13.28515625" customWidth="1"/>
    <col min="26" max="26" width="12.7109375" customWidth="1"/>
    <col min="27" max="27" width="9.28515625" customWidth="1"/>
  </cols>
  <sheetData>
    <row r="1" spans="1:19" ht="18.75" x14ac:dyDescent="0.3">
      <c r="A1" s="21" t="s">
        <v>409</v>
      </c>
      <c r="D1" s="426" t="s">
        <v>311</v>
      </c>
      <c r="F1" s="21" t="s">
        <v>411</v>
      </c>
      <c r="K1" s="21" t="s">
        <v>232</v>
      </c>
    </row>
    <row r="3" spans="1:19" x14ac:dyDescent="0.25">
      <c r="A3" s="10" t="s">
        <v>224</v>
      </c>
      <c r="F3" s="10" t="s">
        <v>132</v>
      </c>
    </row>
    <row r="4" spans="1:19" ht="30" x14ac:dyDescent="0.25">
      <c r="A4" s="10"/>
      <c r="B4" s="26" t="s">
        <v>103</v>
      </c>
      <c r="C4" s="19" t="s">
        <v>95</v>
      </c>
      <c r="D4" s="19" t="s">
        <v>96</v>
      </c>
      <c r="F4" s="10"/>
      <c r="G4" s="26" t="s">
        <v>103</v>
      </c>
      <c r="H4" s="19" t="s">
        <v>95</v>
      </c>
      <c r="I4" s="19" t="s">
        <v>96</v>
      </c>
    </row>
    <row r="5" spans="1:19" ht="18.75" x14ac:dyDescent="0.3">
      <c r="A5" t="s">
        <v>209</v>
      </c>
      <c r="C5" s="8">
        <f>+'Data for Settlement &amp; 1st TU'!H5</f>
        <v>527250000</v>
      </c>
      <c r="D5" s="8">
        <f>+C5</f>
        <v>527250000</v>
      </c>
      <c r="F5" t="s">
        <v>209</v>
      </c>
      <c r="H5" s="1">
        <f>+C5</f>
        <v>527250000</v>
      </c>
      <c r="I5" s="6">
        <f>+H5</f>
        <v>527250000</v>
      </c>
      <c r="K5" s="21"/>
      <c r="O5" s="5"/>
    </row>
    <row r="6" spans="1:19" x14ac:dyDescent="0.25">
      <c r="A6" t="s">
        <v>208</v>
      </c>
      <c r="C6" s="8">
        <f>+'Data for Settlement &amp; 1st TU'!H6</f>
        <v>8000000</v>
      </c>
      <c r="D6" s="8">
        <f>+C6</f>
        <v>8000000</v>
      </c>
      <c r="F6" t="s">
        <v>208</v>
      </c>
      <c r="H6" s="8">
        <f>+C6</f>
        <v>8000000</v>
      </c>
      <c r="I6" s="6">
        <f>+H6</f>
        <v>8000000</v>
      </c>
      <c r="K6" s="22"/>
    </row>
    <row r="7" spans="1:19" x14ac:dyDescent="0.25">
      <c r="A7" t="s">
        <v>98</v>
      </c>
      <c r="C7" s="8">
        <f>+'Data for Settlement &amp; 1st TU'!H7</f>
        <v>-35000000</v>
      </c>
      <c r="D7" s="8"/>
      <c r="F7" t="s">
        <v>98</v>
      </c>
      <c r="H7" s="8">
        <f>+C7</f>
        <v>-35000000</v>
      </c>
      <c r="K7" s="22"/>
    </row>
    <row r="8" spans="1:19" x14ac:dyDescent="0.25">
      <c r="A8" t="s">
        <v>368</v>
      </c>
      <c r="C8" s="8">
        <f>'Data for Settlement &amp; 1st TU'!H8</f>
        <v>0</v>
      </c>
      <c r="D8" s="8">
        <f t="shared" ref="D8:D9" si="0">+C8</f>
        <v>0</v>
      </c>
      <c r="F8" t="s">
        <v>368</v>
      </c>
      <c r="H8" s="8">
        <f t="shared" ref="H8:H9" si="1">+C8</f>
        <v>0</v>
      </c>
      <c r="I8" s="6">
        <f t="shared" ref="I8:I9" si="2">+H8</f>
        <v>0</v>
      </c>
      <c r="K8" s="22"/>
    </row>
    <row r="9" spans="1:19" x14ac:dyDescent="0.25">
      <c r="A9" t="s">
        <v>369</v>
      </c>
      <c r="C9" s="8">
        <f>'Data for Settlement &amp; 1st TU'!H9</f>
        <v>0</v>
      </c>
      <c r="D9" s="8">
        <f t="shared" si="0"/>
        <v>0</v>
      </c>
      <c r="F9" t="s">
        <v>369</v>
      </c>
      <c r="H9" s="8">
        <f t="shared" si="1"/>
        <v>0</v>
      </c>
      <c r="I9" s="6">
        <f t="shared" si="2"/>
        <v>0</v>
      </c>
      <c r="K9" s="22"/>
    </row>
    <row r="10" spans="1:19" x14ac:dyDescent="0.25">
      <c r="C10" s="54">
        <f>SUM(C5:C9)</f>
        <v>500250000</v>
      </c>
      <c r="D10" s="54">
        <f>SUM(D5:D9)</f>
        <v>535250000</v>
      </c>
      <c r="H10" s="54">
        <f>SUM(H5:H9)</f>
        <v>500250000</v>
      </c>
      <c r="I10" s="54">
        <f>SUM(I5:I9)</f>
        <v>535250000</v>
      </c>
      <c r="M10" s="493"/>
      <c r="N10" s="493"/>
      <c r="O10" s="493"/>
      <c r="P10" s="493"/>
      <c r="Q10" s="494"/>
      <c r="R10" s="494"/>
    </row>
    <row r="11" spans="1:19" x14ac:dyDescent="0.25">
      <c r="C11" s="8"/>
      <c r="H11" s="1"/>
      <c r="L11" s="19"/>
      <c r="M11" s="40"/>
      <c r="N11" s="19"/>
      <c r="O11" s="26"/>
      <c r="P11" s="40"/>
      <c r="Q11" s="19"/>
      <c r="R11" s="26"/>
      <c r="S11" s="26"/>
    </row>
    <row r="12" spans="1:19" x14ac:dyDescent="0.25">
      <c r="A12" t="s">
        <v>32</v>
      </c>
      <c r="B12" s="2">
        <f>+B33</f>
        <v>0.45</v>
      </c>
      <c r="C12" s="1">
        <f>+C10*B12</f>
        <v>225112500</v>
      </c>
      <c r="D12" s="6">
        <f>C12</f>
        <v>225112500</v>
      </c>
      <c r="F12" t="s">
        <v>30</v>
      </c>
      <c r="G12" s="11">
        <f>+G33</f>
        <v>0.42713216957605987</v>
      </c>
      <c r="H12" s="1">
        <f>+H10*G12</f>
        <v>213672867.83042395</v>
      </c>
      <c r="I12" s="6">
        <f>+H12</f>
        <v>213672867.83042395</v>
      </c>
      <c r="K12" s="86"/>
      <c r="L12" s="9"/>
      <c r="M12" s="6"/>
      <c r="N12" s="24"/>
      <c r="O12" s="56"/>
      <c r="P12" s="6"/>
      <c r="Q12" s="56"/>
      <c r="R12" s="24"/>
      <c r="S12" s="24"/>
    </row>
    <row r="13" spans="1:19" x14ac:dyDescent="0.25">
      <c r="A13" t="s">
        <v>33</v>
      </c>
      <c r="B13" s="2">
        <f>+B34</f>
        <v>0.55000000000000004</v>
      </c>
      <c r="C13" s="1">
        <f>+C10*B13</f>
        <v>275137500</v>
      </c>
      <c r="D13" s="6">
        <f>+C13-C7</f>
        <v>310137500</v>
      </c>
      <c r="F13" t="s">
        <v>34</v>
      </c>
      <c r="G13" s="11">
        <f>+G34</f>
        <v>0.57286783042394018</v>
      </c>
      <c r="H13" s="1">
        <f>+H10*G13</f>
        <v>286577132.16957605</v>
      </c>
      <c r="I13" s="6">
        <f>+H13-H7</f>
        <v>321577132.16957605</v>
      </c>
      <c r="K13" s="86"/>
      <c r="L13" s="9"/>
      <c r="M13" s="6"/>
      <c r="N13" s="24"/>
      <c r="O13" s="56"/>
      <c r="P13" s="6"/>
      <c r="Q13" s="56"/>
      <c r="R13" s="24"/>
      <c r="S13" s="24"/>
    </row>
    <row r="14" spans="1:19" ht="15.75" thickBot="1" x14ac:dyDescent="0.3">
      <c r="A14" t="s">
        <v>13</v>
      </c>
      <c r="B14" s="15">
        <f>+B12+B13</f>
        <v>1</v>
      </c>
      <c r="C14" s="14">
        <f>+C12+C13</f>
        <v>500250000</v>
      </c>
      <c r="D14" s="14">
        <f>+D12+D13</f>
        <v>535250000</v>
      </c>
      <c r="F14" t="s">
        <v>13</v>
      </c>
      <c r="G14" s="15">
        <f>+G12+G13</f>
        <v>1</v>
      </c>
      <c r="H14" s="14">
        <f>+H12+H13</f>
        <v>500250000</v>
      </c>
      <c r="I14" s="14">
        <f>+I12+I13</f>
        <v>535250000</v>
      </c>
      <c r="L14" s="19"/>
      <c r="M14" s="6"/>
      <c r="N14" s="24"/>
      <c r="O14" s="56"/>
      <c r="P14" s="6"/>
      <c r="Q14" s="56"/>
      <c r="R14" s="24"/>
      <c r="S14" s="24"/>
    </row>
    <row r="15" spans="1:19" ht="15.75" thickTop="1" x14ac:dyDescent="0.25"/>
    <row r="16" spans="1:19" x14ac:dyDescent="0.25">
      <c r="A16" s="22" t="s">
        <v>216</v>
      </c>
      <c r="F16" s="22" t="s">
        <v>217</v>
      </c>
      <c r="L16" s="9"/>
      <c r="M16" s="6"/>
      <c r="N16" s="24"/>
      <c r="O16" s="56"/>
      <c r="P16" s="6"/>
      <c r="Q16" s="56"/>
      <c r="R16" s="24"/>
      <c r="S16" s="24"/>
    </row>
    <row r="17" spans="1:19" x14ac:dyDescent="0.25">
      <c r="A17" s="22"/>
      <c r="B17" s="19" t="s">
        <v>8</v>
      </c>
      <c r="C17" s="19" t="s">
        <v>14</v>
      </c>
      <c r="D17" s="26"/>
      <c r="F17" s="22"/>
      <c r="G17" s="19" t="s">
        <v>9</v>
      </c>
      <c r="H17" s="19" t="s">
        <v>14</v>
      </c>
      <c r="I17" s="26"/>
      <c r="L17" s="9"/>
      <c r="M17" s="6"/>
      <c r="N17" s="4"/>
      <c r="O17" s="2"/>
      <c r="P17" s="6"/>
      <c r="Q17" s="2"/>
      <c r="R17" s="4"/>
      <c r="S17" s="4"/>
    </row>
    <row r="18" spans="1:19" x14ac:dyDescent="0.25">
      <c r="A18" t="s">
        <v>2</v>
      </c>
      <c r="B18" s="11">
        <f t="shared" ref="B18:B25" si="3">B40</f>
        <v>2.2222222222222199E-2</v>
      </c>
      <c r="C18" s="235">
        <f>+B18*$C$12</f>
        <v>5002499.9999999944</v>
      </c>
      <c r="D18" s="49"/>
      <c r="F18" t="s">
        <v>2</v>
      </c>
      <c r="G18" s="362">
        <f t="shared" ref="G18:G25" si="4">G40</f>
        <v>1.9743469274421058E-2</v>
      </c>
      <c r="H18" s="363">
        <f>+G18*$H$12</f>
        <v>4218643.7007874073</v>
      </c>
      <c r="I18" s="18"/>
      <c r="L18" s="9"/>
      <c r="M18" s="6"/>
      <c r="N18" s="4"/>
      <c r="O18" s="2"/>
      <c r="P18" s="6"/>
      <c r="Q18" s="2"/>
      <c r="R18" s="4"/>
      <c r="S18" s="4"/>
    </row>
    <row r="19" spans="1:19" x14ac:dyDescent="0.25">
      <c r="A19" t="s">
        <v>3</v>
      </c>
      <c r="B19" s="11">
        <f t="shared" si="3"/>
        <v>3.111111111111111E-2</v>
      </c>
      <c r="C19" s="235">
        <f t="shared" ref="C19:C26" si="5">+B19*$C$12</f>
        <v>7003500</v>
      </c>
      <c r="D19" s="49"/>
      <c r="F19" t="s">
        <v>3</v>
      </c>
      <c r="G19" s="362">
        <f t="shared" si="4"/>
        <v>3.6415732217265441E-2</v>
      </c>
      <c r="H19" s="363">
        <f t="shared" ref="H19:H26" si="6">+G19*$H$12</f>
        <v>7781053.9370078696</v>
      </c>
      <c r="I19" s="18"/>
      <c r="L19" s="9"/>
      <c r="M19" s="6"/>
      <c r="N19" s="4"/>
      <c r="O19" s="2"/>
      <c r="P19" s="6"/>
      <c r="Q19" s="2"/>
      <c r="R19" s="4"/>
      <c r="S19" s="4"/>
    </row>
    <row r="20" spans="1:19" x14ac:dyDescent="0.25">
      <c r="A20" t="s">
        <v>286</v>
      </c>
      <c r="B20" s="362">
        <f t="shared" si="3"/>
        <v>0.42222222222222222</v>
      </c>
      <c r="C20" s="363">
        <f t="shared" si="5"/>
        <v>95047500</v>
      </c>
      <c r="D20" s="49"/>
      <c r="F20" t="s">
        <v>286</v>
      </c>
      <c r="G20" s="362">
        <f t="shared" si="4"/>
        <v>0.3904079850831349</v>
      </c>
      <c r="H20" s="363">
        <f t="shared" si="6"/>
        <v>83419593.796610802</v>
      </c>
      <c r="I20" s="18"/>
      <c r="L20" s="9"/>
      <c r="M20" s="6"/>
      <c r="N20" s="4"/>
      <c r="O20" s="2"/>
      <c r="P20" s="6"/>
      <c r="Q20" s="2"/>
      <c r="R20" s="4"/>
      <c r="S20" s="4"/>
    </row>
    <row r="21" spans="1:19" x14ac:dyDescent="0.25">
      <c r="A21" t="s">
        <v>287</v>
      </c>
      <c r="B21" s="362">
        <f t="shared" si="3"/>
        <v>0.2088888888888889</v>
      </c>
      <c r="C21" s="363">
        <f t="shared" si="5"/>
        <v>47023500</v>
      </c>
      <c r="D21" s="49"/>
      <c r="F21" t="s">
        <v>287</v>
      </c>
      <c r="G21" s="362">
        <f t="shared" si="4"/>
        <v>0.23692163129305271</v>
      </c>
      <c r="H21" s="363">
        <f t="shared" si="6"/>
        <v>50623724.409448884</v>
      </c>
      <c r="I21" s="18"/>
      <c r="L21" s="9"/>
      <c r="M21" s="6"/>
      <c r="N21" s="4"/>
      <c r="O21" s="2"/>
      <c r="P21" s="6"/>
      <c r="Q21" s="2"/>
      <c r="R21" s="4"/>
      <c r="S21" s="4"/>
    </row>
    <row r="22" spans="1:19" x14ac:dyDescent="0.25">
      <c r="A22" t="s">
        <v>288</v>
      </c>
      <c r="B22" s="362">
        <f t="shared" si="3"/>
        <v>0.26222222222222225</v>
      </c>
      <c r="C22" s="363">
        <f t="shared" si="5"/>
        <v>59029500.000000007</v>
      </c>
      <c r="D22" s="49"/>
      <c r="F22" t="s">
        <v>288</v>
      </c>
      <c r="G22" s="362">
        <f t="shared" si="4"/>
        <v>0.26851118213212644</v>
      </c>
      <c r="H22" s="363">
        <f t="shared" si="6"/>
        <v>57373554.330708742</v>
      </c>
      <c r="I22" s="18"/>
      <c r="L22" s="9"/>
      <c r="M22" s="6"/>
      <c r="N22" s="4"/>
      <c r="O22" s="2"/>
      <c r="P22" s="6"/>
      <c r="Q22" s="2"/>
      <c r="R22" s="4"/>
      <c r="S22" s="4"/>
    </row>
    <row r="23" spans="1:19" x14ac:dyDescent="0.25">
      <c r="A23" t="s">
        <v>289</v>
      </c>
      <c r="B23" s="362">
        <f t="shared" si="3"/>
        <v>2.2222222222222223E-2</v>
      </c>
      <c r="C23" s="363">
        <f>+B23*$C$12</f>
        <v>5002500</v>
      </c>
      <c r="D23" s="49"/>
      <c r="F23" t="s">
        <v>289</v>
      </c>
      <c r="G23" s="362">
        <f t="shared" si="4"/>
        <v>1.9200000000000002E-2</v>
      </c>
      <c r="H23" s="363">
        <f>+G23*$H$12</f>
        <v>4102519.0623441404</v>
      </c>
      <c r="I23" s="18"/>
      <c r="L23" s="9"/>
      <c r="M23" s="6"/>
      <c r="N23" s="4"/>
      <c r="O23" s="2"/>
      <c r="P23" s="6"/>
      <c r="Q23" s="2"/>
      <c r="R23" s="4"/>
      <c r="S23" s="4"/>
    </row>
    <row r="24" spans="1:19" x14ac:dyDescent="0.25">
      <c r="A24" t="s">
        <v>290</v>
      </c>
      <c r="B24" s="362">
        <f t="shared" si="3"/>
        <v>8.8888888888888889E-3</v>
      </c>
      <c r="C24" s="363">
        <f t="shared" si="5"/>
        <v>2001000</v>
      </c>
      <c r="D24" s="49"/>
      <c r="F24" t="s">
        <v>290</v>
      </c>
      <c r="G24" s="362">
        <f t="shared" si="4"/>
        <v>9.6000000000000009E-3</v>
      </c>
      <c r="H24" s="363">
        <f t="shared" si="6"/>
        <v>2051259.5311720702</v>
      </c>
      <c r="I24" s="18"/>
      <c r="L24" s="9"/>
      <c r="M24" s="6"/>
      <c r="N24" s="4"/>
      <c r="O24" s="2"/>
      <c r="P24" s="6"/>
      <c r="Q24" s="2"/>
      <c r="R24" s="4"/>
      <c r="S24" s="4"/>
    </row>
    <row r="25" spans="1:19" x14ac:dyDescent="0.25">
      <c r="A25" t="s">
        <v>291</v>
      </c>
      <c r="B25" s="362">
        <f t="shared" si="3"/>
        <v>4.4444444444444444E-3</v>
      </c>
      <c r="C25" s="363">
        <f>+B25*$C$12</f>
        <v>1000500</v>
      </c>
      <c r="D25" s="49"/>
      <c r="F25" t="s">
        <v>291</v>
      </c>
      <c r="G25" s="362">
        <f t="shared" si="4"/>
        <v>4.8000000000000004E-3</v>
      </c>
      <c r="H25" s="363">
        <f>+G25*$H$12</f>
        <v>1025629.7655860351</v>
      </c>
      <c r="I25" s="18"/>
      <c r="L25" s="9"/>
      <c r="M25" s="6"/>
      <c r="N25" s="4"/>
      <c r="O25" s="2"/>
      <c r="P25" s="6"/>
      <c r="Q25" s="2"/>
      <c r="R25" s="4"/>
      <c r="S25" s="4"/>
    </row>
    <row r="26" spans="1:19" x14ac:dyDescent="0.25">
      <c r="A26" t="s">
        <v>292</v>
      </c>
      <c r="B26" s="362">
        <f t="shared" ref="B26" si="7">B48</f>
        <v>1.7777777777777778E-2</v>
      </c>
      <c r="C26" s="363">
        <f t="shared" si="5"/>
        <v>4002000</v>
      </c>
      <c r="D26" s="49"/>
      <c r="F26" t="s">
        <v>292</v>
      </c>
      <c r="G26" s="362">
        <f t="shared" ref="G26" si="8">G48</f>
        <v>1.44E-2</v>
      </c>
      <c r="H26" s="363">
        <f t="shared" si="6"/>
        <v>3076889.2967581046</v>
      </c>
      <c r="I26" s="18"/>
      <c r="L26" s="9"/>
      <c r="M26" s="6"/>
      <c r="N26" s="4"/>
      <c r="O26" s="2"/>
      <c r="P26" s="6"/>
      <c r="Q26" s="2"/>
      <c r="R26" s="4"/>
      <c r="S26" s="4"/>
    </row>
    <row r="27" spans="1:19" ht="15.75" thickBot="1" x14ac:dyDescent="0.3">
      <c r="B27" s="15">
        <f>SUM(B18:B26)</f>
        <v>1</v>
      </c>
      <c r="C27" s="14">
        <f>SUM(C18:C26)</f>
        <v>225112500</v>
      </c>
      <c r="G27" s="15">
        <f>SUM(G18:G26)</f>
        <v>1.0000000000000007</v>
      </c>
      <c r="H27" s="14">
        <f>SUM(H18:H26)</f>
        <v>213672867.83042407</v>
      </c>
      <c r="L27" s="9"/>
      <c r="M27" s="6"/>
      <c r="N27" s="4"/>
      <c r="O27" s="2"/>
      <c r="P27" s="6"/>
      <c r="Q27" s="2"/>
      <c r="R27" s="4"/>
      <c r="S27" s="4"/>
    </row>
    <row r="28" spans="1:19" ht="15.75" thickTop="1" x14ac:dyDescent="0.25">
      <c r="L28" s="9"/>
      <c r="M28" s="6"/>
      <c r="N28" s="4"/>
      <c r="O28" s="2"/>
      <c r="P28" s="6"/>
      <c r="Q28" s="2"/>
      <c r="R28" s="4"/>
      <c r="S28" s="4"/>
    </row>
    <row r="29" spans="1:19" x14ac:dyDescent="0.25">
      <c r="A29" s="22" t="s">
        <v>112</v>
      </c>
      <c r="F29" s="22" t="s">
        <v>218</v>
      </c>
    </row>
    <row r="30" spans="1:19" ht="30.75" customHeight="1" x14ac:dyDescent="0.25">
      <c r="A30" s="22"/>
      <c r="B30" s="26" t="s">
        <v>103</v>
      </c>
      <c r="C30" s="19" t="s">
        <v>95</v>
      </c>
      <c r="D30" s="19" t="s">
        <v>96</v>
      </c>
      <c r="F30" s="22"/>
      <c r="G30" s="26" t="s">
        <v>103</v>
      </c>
      <c r="H30" s="19" t="s">
        <v>95</v>
      </c>
      <c r="I30" s="19" t="s">
        <v>96</v>
      </c>
    </row>
    <row r="31" spans="1:19" x14ac:dyDescent="0.25">
      <c r="A31" t="s">
        <v>104</v>
      </c>
      <c r="C31" s="1">
        <f>+'Data for Settlement &amp; 1st TU'!H31</f>
        <v>500000000</v>
      </c>
      <c r="D31" s="6">
        <f>+D35</f>
        <v>535000000</v>
      </c>
      <c r="F31" t="s">
        <v>31</v>
      </c>
      <c r="H31" s="48">
        <f>+H35</f>
        <v>501250000</v>
      </c>
      <c r="I31" s="6">
        <f>+I35</f>
        <v>536250000</v>
      </c>
    </row>
    <row r="33" spans="1:13" x14ac:dyDescent="0.25">
      <c r="A33" t="s">
        <v>65</v>
      </c>
      <c r="B33" s="2">
        <f>+C33/C35</f>
        <v>0.45</v>
      </c>
      <c r="C33" s="8">
        <f>+'Data for Settlement &amp; 1st TU'!H33</f>
        <v>225000000</v>
      </c>
      <c r="D33" s="8">
        <f>+C33</f>
        <v>225000000</v>
      </c>
      <c r="F33" t="s">
        <v>24</v>
      </c>
      <c r="G33" s="11">
        <f>+H33/H35</f>
        <v>0.42713216957605987</v>
      </c>
      <c r="H33" s="44">
        <v>214100000</v>
      </c>
      <c r="I33" s="6">
        <f>+H33</f>
        <v>214100000</v>
      </c>
      <c r="K33" s="51"/>
    </row>
    <row r="34" spans="1:13" x14ac:dyDescent="0.25">
      <c r="A34" t="s">
        <v>66</v>
      </c>
      <c r="B34" s="2">
        <f>+C34/C35</f>
        <v>0.55000000000000004</v>
      </c>
      <c r="C34" s="8">
        <f>+'Data for Settlement &amp; 1st TU'!H34</f>
        <v>275000000</v>
      </c>
      <c r="D34" s="8">
        <f>+C34-C7</f>
        <v>310000000</v>
      </c>
      <c r="F34" t="s">
        <v>25</v>
      </c>
      <c r="G34" s="11">
        <f>+H34/H35</f>
        <v>0.57286783042394018</v>
      </c>
      <c r="H34" s="44">
        <v>287150000</v>
      </c>
      <c r="I34" s="6">
        <f>+H34-H7</f>
        <v>322150000</v>
      </c>
      <c r="J34" s="6"/>
      <c r="K34" s="6"/>
      <c r="L34" s="6"/>
      <c r="M34" s="6"/>
    </row>
    <row r="35" spans="1:13" ht="15.75" thickBot="1" x14ac:dyDescent="0.3">
      <c r="A35" t="s">
        <v>52</v>
      </c>
      <c r="B35" s="15">
        <f>+B33+B34</f>
        <v>1</v>
      </c>
      <c r="C35" s="14">
        <f>+C33+C34</f>
        <v>500000000</v>
      </c>
      <c r="D35" s="14">
        <f>+D33+D34</f>
        <v>535000000</v>
      </c>
      <c r="F35" t="s">
        <v>55</v>
      </c>
      <c r="G35" s="15">
        <f>+G33+G34</f>
        <v>1</v>
      </c>
      <c r="H35" s="14">
        <f>+H33+H34</f>
        <v>501250000</v>
      </c>
      <c r="I35" s="14">
        <f>+I33+I34</f>
        <v>536250000</v>
      </c>
      <c r="J35" s="1"/>
      <c r="K35" s="16"/>
    </row>
    <row r="36" spans="1:13" ht="15.75" thickTop="1" x14ac:dyDescent="0.25">
      <c r="B36" s="68"/>
      <c r="C36" s="6"/>
      <c r="D36" s="6"/>
      <c r="G36" s="68"/>
      <c r="H36" s="6"/>
      <c r="I36" s="6"/>
      <c r="J36" s="1"/>
      <c r="K36" s="16"/>
    </row>
    <row r="37" spans="1:13" x14ac:dyDescent="0.25">
      <c r="K37" s="2"/>
    </row>
    <row r="38" spans="1:13" ht="15.75" x14ac:dyDescent="0.25">
      <c r="A38" s="22" t="s">
        <v>113</v>
      </c>
      <c r="F38" s="22" t="s">
        <v>272</v>
      </c>
    </row>
    <row r="39" spans="1:13" ht="31.15" customHeight="1" x14ac:dyDescent="0.25">
      <c r="A39" s="22"/>
      <c r="B39" s="19" t="s">
        <v>8</v>
      </c>
      <c r="C39" s="19" t="s">
        <v>14</v>
      </c>
      <c r="D39" s="26" t="s">
        <v>17</v>
      </c>
      <c r="F39" s="22"/>
      <c r="G39" s="19" t="s">
        <v>9</v>
      </c>
      <c r="H39" s="19" t="s">
        <v>14</v>
      </c>
      <c r="I39" s="26" t="s">
        <v>281</v>
      </c>
      <c r="J39" s="13"/>
      <c r="K39" s="13"/>
      <c r="L39" s="13"/>
      <c r="M39" s="13"/>
    </row>
    <row r="40" spans="1:13" x14ac:dyDescent="0.25">
      <c r="A40" t="s">
        <v>2</v>
      </c>
      <c r="B40" s="11">
        <f>+'Data for Settlement &amp; 1st TU'!G40</f>
        <v>2.2222222222222199E-2</v>
      </c>
      <c r="C40" s="235">
        <f>+B40*$C$33</f>
        <v>4999999.9999999944</v>
      </c>
      <c r="D40" s="348">
        <f>+'Data for Settlement &amp; 1st TU'!I40</f>
        <v>0.10299999999999999</v>
      </c>
      <c r="F40" t="s">
        <v>2</v>
      </c>
      <c r="G40" s="473">
        <f>2.07389383134675%*0.952</f>
        <v>1.9743469274421058E-2</v>
      </c>
      <c r="H40" s="363">
        <f>+G40*$H$33</f>
        <v>4227076.7716535488</v>
      </c>
      <c r="I40" s="366">
        <f>+D40</f>
        <v>0.10299999999999999</v>
      </c>
      <c r="J40" s="18"/>
      <c r="K40" s="1"/>
      <c r="L40" s="18"/>
      <c r="M40" s="18"/>
    </row>
    <row r="41" spans="1:13" x14ac:dyDescent="0.25">
      <c r="A41" t="s">
        <v>3</v>
      </c>
      <c r="B41" s="11">
        <f>+'Data for Settlement &amp; 1st TU'!G41</f>
        <v>3.111111111111111E-2</v>
      </c>
      <c r="C41" s="235">
        <f t="shared" ref="C41:C48" si="9">+B41*$C$33</f>
        <v>7000000</v>
      </c>
      <c r="D41" s="348">
        <f>+'Data for Settlement &amp; 1st TU'!I41</f>
        <v>0.125</v>
      </c>
      <c r="F41" t="s">
        <v>3</v>
      </c>
      <c r="G41" s="473">
        <f>3.82518195559511%*0.952</f>
        <v>3.6415732217265441E-2</v>
      </c>
      <c r="H41" s="363">
        <f t="shared" ref="H41:H48" si="10">+G41*$H$33</f>
        <v>7796608.2677165307</v>
      </c>
      <c r="I41" s="366">
        <f t="shared" ref="I41:I48" si="11">+D41</f>
        <v>0.125</v>
      </c>
      <c r="J41" s="18"/>
      <c r="K41" s="1"/>
      <c r="L41" s="18"/>
      <c r="M41" s="18"/>
    </row>
    <row r="42" spans="1:13" x14ac:dyDescent="0.25">
      <c r="A42" t="s">
        <v>286</v>
      </c>
      <c r="B42" s="362">
        <f>+'Data for Settlement &amp; 1st TU'!G42</f>
        <v>0.42222222222222222</v>
      </c>
      <c r="C42" s="363">
        <f t="shared" si="9"/>
        <v>95000000</v>
      </c>
      <c r="D42" s="425">
        <f>+'Data for Settlement &amp; 1st TU'!I42</f>
        <v>8.6999999999999994E-2</v>
      </c>
      <c r="F42" t="s">
        <v>286</v>
      </c>
      <c r="G42" s="473">
        <f>41.0092421305814%*0.952</f>
        <v>0.3904079850831349</v>
      </c>
      <c r="H42" s="363">
        <f t="shared" si="10"/>
        <v>83586349.606299177</v>
      </c>
      <c r="I42" s="366">
        <f t="shared" si="11"/>
        <v>8.6999999999999994E-2</v>
      </c>
      <c r="J42" s="18"/>
      <c r="K42" s="1"/>
      <c r="L42" s="18"/>
      <c r="M42" s="18"/>
    </row>
    <row r="43" spans="1:13" x14ac:dyDescent="0.25">
      <c r="A43" t="s">
        <v>287</v>
      </c>
      <c r="B43" s="362">
        <f>+'Data for Settlement &amp; 1st TU'!G43</f>
        <v>0.2088888888888889</v>
      </c>
      <c r="C43" s="363">
        <f t="shared" si="9"/>
        <v>47000000</v>
      </c>
      <c r="D43" s="425">
        <f>+'Data for Settlement &amp; 1st TU'!I43</f>
        <v>0.122</v>
      </c>
      <c r="F43" t="s">
        <v>287</v>
      </c>
      <c r="G43" s="473">
        <f>24.886725976161%*0.952</f>
        <v>0.23692163129305271</v>
      </c>
      <c r="H43" s="363">
        <f t="shared" si="10"/>
        <v>50724921.259842589</v>
      </c>
      <c r="I43" s="366">
        <f t="shared" si="11"/>
        <v>0.122</v>
      </c>
      <c r="J43" s="18"/>
      <c r="K43" s="1"/>
      <c r="L43" s="18"/>
      <c r="M43" s="18"/>
    </row>
    <row r="44" spans="1:13" x14ac:dyDescent="0.25">
      <c r="A44" t="s">
        <v>288</v>
      </c>
      <c r="B44" s="362">
        <f>+'Data for Settlement &amp; 1st TU'!G44</f>
        <v>0.26222222222222225</v>
      </c>
      <c r="C44" s="363">
        <f t="shared" si="9"/>
        <v>59000000.000000007</v>
      </c>
      <c r="D44" s="425">
        <f>+'Data for Settlement &amp; 1st TU'!I44</f>
        <v>0.182</v>
      </c>
      <c r="F44" t="s">
        <v>288</v>
      </c>
      <c r="G44" s="473">
        <f>28.2049561063158%*0.952</f>
        <v>0.26851118213212644</v>
      </c>
      <c r="H44" s="363">
        <f t="shared" si="10"/>
        <v>57488244.094488271</v>
      </c>
      <c r="I44" s="366">
        <f t="shared" si="11"/>
        <v>0.182</v>
      </c>
      <c r="J44" s="18"/>
      <c r="K44" s="1"/>
      <c r="L44" s="18"/>
      <c r="M44" s="18"/>
    </row>
    <row r="45" spans="1:13" x14ac:dyDescent="0.25">
      <c r="A45" t="s">
        <v>289</v>
      </c>
      <c r="B45" s="362">
        <f>+'Data for Settlement &amp; 1st TU'!G45</f>
        <v>2.2222222222222223E-2</v>
      </c>
      <c r="C45" s="363">
        <f>+B45*$C$33</f>
        <v>5000000</v>
      </c>
      <c r="D45" s="425">
        <f>+'Data for Settlement &amp; 1st TU'!I45</f>
        <v>8.6999999999999994E-2</v>
      </c>
      <c r="F45" t="s">
        <v>289</v>
      </c>
      <c r="G45" s="473">
        <f>4.8%*0.4</f>
        <v>1.9200000000000002E-2</v>
      </c>
      <c r="H45" s="363">
        <f>+G45*$H$33</f>
        <v>4110720.0000000005</v>
      </c>
      <c r="I45" s="366">
        <f>+D45</f>
        <v>8.6999999999999994E-2</v>
      </c>
      <c r="J45" s="18"/>
      <c r="K45" s="1"/>
      <c r="L45" s="284"/>
      <c r="M45" s="18"/>
    </row>
    <row r="46" spans="1:13" x14ac:dyDescent="0.25">
      <c r="A46" t="s">
        <v>290</v>
      </c>
      <c r="B46" s="362">
        <f>+'Data for Settlement &amp; 1st TU'!G46</f>
        <v>8.8888888888888889E-3</v>
      </c>
      <c r="C46" s="363">
        <f t="shared" si="9"/>
        <v>2000000</v>
      </c>
      <c r="D46" s="425">
        <f>+'Data for Settlement &amp; 1st TU'!I46</f>
        <v>0.122</v>
      </c>
      <c r="F46" t="s">
        <v>290</v>
      </c>
      <c r="G46" s="473">
        <f>4.8%*0.2</f>
        <v>9.6000000000000009E-3</v>
      </c>
      <c r="H46" s="363">
        <f t="shared" si="10"/>
        <v>2055360.0000000002</v>
      </c>
      <c r="I46" s="366">
        <f t="shared" si="11"/>
        <v>0.122</v>
      </c>
      <c r="J46" s="18"/>
      <c r="K46" s="1"/>
      <c r="L46" s="284"/>
      <c r="M46" s="18"/>
    </row>
    <row r="47" spans="1:13" x14ac:dyDescent="0.25">
      <c r="A47" t="s">
        <v>291</v>
      </c>
      <c r="B47" s="362">
        <f>+'Data for Settlement &amp; 1st TU'!G47</f>
        <v>4.4444444444444444E-3</v>
      </c>
      <c r="C47" s="363">
        <f>+B47*$C$33</f>
        <v>1000000</v>
      </c>
      <c r="D47" s="425">
        <f>+'Data for Settlement &amp; 1st TU'!I47</f>
        <v>0.28599999999999998</v>
      </c>
      <c r="F47" t="s">
        <v>291</v>
      </c>
      <c r="G47" s="473">
        <f>4.8%*0.1</f>
        <v>4.8000000000000004E-3</v>
      </c>
      <c r="H47" s="363">
        <f>+G47*$H$33</f>
        <v>1027680.0000000001</v>
      </c>
      <c r="I47" s="366">
        <f>+D47</f>
        <v>0.28599999999999998</v>
      </c>
      <c r="J47" s="18"/>
      <c r="K47" s="1"/>
      <c r="L47" s="284"/>
      <c r="M47" s="18"/>
    </row>
    <row r="48" spans="1:13" x14ac:dyDescent="0.25">
      <c r="A48" t="s">
        <v>292</v>
      </c>
      <c r="B48" s="362">
        <f>+'Data for Settlement &amp; 1st TU'!G48</f>
        <v>1.7777777777777778E-2</v>
      </c>
      <c r="C48" s="363">
        <f t="shared" si="9"/>
        <v>4000000</v>
      </c>
      <c r="D48" s="425">
        <f>+'Data for Settlement &amp; 1st TU'!I48</f>
        <v>2.8000000000000001E-2</v>
      </c>
      <c r="F48" t="s">
        <v>292</v>
      </c>
      <c r="G48" s="473">
        <f>4.8%*0.3</f>
        <v>1.44E-2</v>
      </c>
      <c r="H48" s="363">
        <f t="shared" si="10"/>
        <v>3083040</v>
      </c>
      <c r="I48" s="366">
        <f t="shared" si="11"/>
        <v>2.8000000000000001E-2</v>
      </c>
      <c r="J48" s="18"/>
      <c r="K48" s="1"/>
      <c r="L48" s="284"/>
      <c r="M48" s="18"/>
    </row>
    <row r="49" spans="1:12" ht="15.75" thickBot="1" x14ac:dyDescent="0.3">
      <c r="B49" s="15">
        <f>SUM(B40:B48)</f>
        <v>1</v>
      </c>
      <c r="C49" s="14">
        <f>SUM(C40:C48)</f>
        <v>225000000</v>
      </c>
      <c r="G49" s="15">
        <f>SUM(G40:G48)</f>
        <v>1.0000000000000007</v>
      </c>
      <c r="H49" s="14">
        <f>SUM(H40:H48)</f>
        <v>214100000.00000012</v>
      </c>
      <c r="K49" s="6"/>
      <c r="L49" s="239"/>
    </row>
    <row r="50" spans="1:12" ht="15.75" thickTop="1" x14ac:dyDescent="0.25"/>
    <row r="51" spans="1:12" x14ac:dyDescent="0.25">
      <c r="A51" s="22" t="s">
        <v>225</v>
      </c>
      <c r="F51" s="22" t="s">
        <v>133</v>
      </c>
      <c r="K51" s="283"/>
    </row>
    <row r="52" spans="1:12" x14ac:dyDescent="0.25">
      <c r="A52" s="10"/>
      <c r="B52" s="19" t="s">
        <v>53</v>
      </c>
      <c r="F52" s="10"/>
      <c r="G52" s="19" t="s">
        <v>53</v>
      </c>
      <c r="K52" s="283"/>
    </row>
    <row r="53" spans="1:12" x14ac:dyDescent="0.25">
      <c r="A53" s="10" t="s">
        <v>15</v>
      </c>
      <c r="B53" s="19" t="s">
        <v>10</v>
      </c>
      <c r="F53" s="10" t="s">
        <v>15</v>
      </c>
      <c r="G53" s="19" t="s">
        <v>10</v>
      </c>
    </row>
    <row r="54" spans="1:12" x14ac:dyDescent="0.25">
      <c r="A54" t="s">
        <v>68</v>
      </c>
      <c r="B54" s="454">
        <f>+B102</f>
        <v>3.3122232598371396E-2</v>
      </c>
      <c r="C54" s="51"/>
      <c r="F54" t="s">
        <v>128</v>
      </c>
      <c r="G54" s="454">
        <f>+G102</f>
        <v>3.5140133225143269E-2</v>
      </c>
      <c r="H54" s="51"/>
      <c r="K54" s="51"/>
      <c r="L54" s="58"/>
    </row>
    <row r="55" spans="1:12" x14ac:dyDescent="0.25">
      <c r="A55" t="s">
        <v>69</v>
      </c>
      <c r="B55" s="9">
        <f>+B103</f>
        <v>2.8624405852328703E-2</v>
      </c>
      <c r="C55" s="51"/>
      <c r="F55" t="s">
        <v>129</v>
      </c>
      <c r="G55" s="9">
        <f>+G103</f>
        <v>2.7763164898064498E-2</v>
      </c>
      <c r="H55" s="51"/>
      <c r="I55" s="51"/>
      <c r="K55" s="51"/>
      <c r="L55" s="58"/>
    </row>
    <row r="56" spans="1:12" x14ac:dyDescent="0.25">
      <c r="A56" t="s">
        <v>19</v>
      </c>
      <c r="B56" s="9">
        <f>+'Data for Settlement &amp; 1st TU'!G56</f>
        <v>0.10589999999999999</v>
      </c>
      <c r="F56" t="s">
        <v>19</v>
      </c>
      <c r="G56" s="3">
        <f>+B56</f>
        <v>0.10589999999999999</v>
      </c>
      <c r="I56" s="57"/>
    </row>
    <row r="57" spans="1:12" x14ac:dyDescent="0.25">
      <c r="A57" t="s">
        <v>20</v>
      </c>
      <c r="B57" s="9">
        <f>+'Data for Settlement &amp; 1st TU'!G57</f>
        <v>7.8700000000000006E-2</v>
      </c>
      <c r="F57" t="s">
        <v>20</v>
      </c>
      <c r="G57" s="3">
        <f>+B57</f>
        <v>7.8700000000000006E-2</v>
      </c>
      <c r="I57" s="51"/>
    </row>
    <row r="58" spans="1:12" x14ac:dyDescent="0.25">
      <c r="A58" t="s">
        <v>102</v>
      </c>
      <c r="B58" s="9">
        <f>+'Data for Settlement &amp; 1st TU'!G58</f>
        <v>8.7099999999999997E-2</v>
      </c>
      <c r="F58" t="s">
        <v>102</v>
      </c>
      <c r="G58" s="3">
        <f>+B58</f>
        <v>8.7099999999999997E-2</v>
      </c>
    </row>
    <row r="59" spans="1:12" x14ac:dyDescent="0.25">
      <c r="A59" t="s">
        <v>121</v>
      </c>
      <c r="B59" s="9">
        <f>+'Data for Settlement &amp; 1st TU'!G59</f>
        <v>8.8359370314842575E-2</v>
      </c>
      <c r="F59" t="s">
        <v>121</v>
      </c>
      <c r="G59" s="3">
        <f>+B59</f>
        <v>8.8359370314842575E-2</v>
      </c>
    </row>
    <row r="60" spans="1:12" x14ac:dyDescent="0.25">
      <c r="B60" s="208"/>
      <c r="G60" s="348"/>
    </row>
    <row r="61" spans="1:12" x14ac:dyDescent="0.25">
      <c r="G61" s="348"/>
    </row>
    <row r="62" spans="1:12" x14ac:dyDescent="0.25">
      <c r="B62" s="9"/>
    </row>
    <row r="63" spans="1:12" ht="18.75" x14ac:dyDescent="0.3">
      <c r="A63" s="21" t="s">
        <v>23</v>
      </c>
      <c r="B63" s="9"/>
      <c r="F63" s="21" t="s">
        <v>23</v>
      </c>
      <c r="G63" s="9"/>
    </row>
    <row r="64" spans="1:12" x14ac:dyDescent="0.25">
      <c r="A64" s="1"/>
      <c r="B64" s="3"/>
      <c r="F64" s="1"/>
      <c r="G64" s="3"/>
      <c r="H64" s="32"/>
    </row>
    <row r="65" spans="1:26" x14ac:dyDescent="0.25">
      <c r="A65" s="22" t="s">
        <v>115</v>
      </c>
      <c r="F65" s="22" t="s">
        <v>125</v>
      </c>
    </row>
    <row r="66" spans="1:26" x14ac:dyDescent="0.25">
      <c r="A66" s="22"/>
      <c r="B66" s="19" t="s">
        <v>36</v>
      </c>
      <c r="C66" s="40" t="s">
        <v>14</v>
      </c>
      <c r="D66" s="41" t="s">
        <v>37</v>
      </c>
      <c r="F66" s="22"/>
      <c r="G66" s="19" t="s">
        <v>36</v>
      </c>
      <c r="H66" s="40" t="s">
        <v>14</v>
      </c>
      <c r="I66" s="41" t="s">
        <v>37</v>
      </c>
      <c r="J66" s="10"/>
    </row>
    <row r="67" spans="1:26" x14ac:dyDescent="0.25">
      <c r="A67" t="s">
        <v>199</v>
      </c>
      <c r="B67" s="3">
        <f>+'Data for Settlement &amp; 1st TU'!G67</f>
        <v>0.65</v>
      </c>
      <c r="C67" s="6">
        <f>+C6</f>
        <v>8000000</v>
      </c>
      <c r="D67" s="12">
        <f>+B67*C67</f>
        <v>5200000</v>
      </c>
      <c r="F67" t="s">
        <v>199</v>
      </c>
      <c r="G67" s="3">
        <f>+B67</f>
        <v>0.65</v>
      </c>
      <c r="H67" s="6">
        <f>+I6</f>
        <v>8000000</v>
      </c>
      <c r="I67" s="12">
        <f>+H67*G67</f>
        <v>5200000</v>
      </c>
      <c r="J67" s="10"/>
      <c r="K67" s="1"/>
    </row>
    <row r="68" spans="1:26" x14ac:dyDescent="0.25">
      <c r="A68" s="296" t="s">
        <v>307</v>
      </c>
      <c r="B68" s="455">
        <f>+'Data for Settlement &amp; 1st TU'!G68</f>
        <v>3.0800000000000001E-2</v>
      </c>
      <c r="C68" s="6">
        <f>+D5</f>
        <v>527250000</v>
      </c>
      <c r="D68" s="285">
        <f>+C68*B68</f>
        <v>16239300</v>
      </c>
      <c r="F68" s="296" t="s">
        <v>307</v>
      </c>
      <c r="G68" s="3">
        <f>+B68</f>
        <v>3.0800000000000001E-2</v>
      </c>
      <c r="H68" s="6">
        <f>+I5</f>
        <v>527250000</v>
      </c>
      <c r="I68" s="285">
        <f>+H68*G68</f>
        <v>16239300</v>
      </c>
      <c r="J68" s="4"/>
      <c r="K68" s="1"/>
      <c r="L68" s="4"/>
    </row>
    <row r="69" spans="1:26" x14ac:dyDescent="0.25">
      <c r="A69" t="s">
        <v>105</v>
      </c>
      <c r="B69" s="3"/>
      <c r="C69" s="6"/>
      <c r="D69" s="12">
        <f>+'Data for Settlement &amp; 1st TU'!I69</f>
        <v>1980000</v>
      </c>
      <c r="F69" t="s">
        <v>105</v>
      </c>
      <c r="G69" s="3"/>
      <c r="H69" s="6"/>
      <c r="I69" s="12">
        <f>+D69</f>
        <v>1980000</v>
      </c>
      <c r="J69" s="4"/>
      <c r="K69" s="1"/>
      <c r="L69" s="12"/>
    </row>
    <row r="70" spans="1:26" ht="17.25" x14ac:dyDescent="0.25">
      <c r="A70" t="s">
        <v>39</v>
      </c>
      <c r="B70" s="9">
        <f>+B59</f>
        <v>8.8359370314842575E-2</v>
      </c>
      <c r="C70" s="6">
        <f>+C12</f>
        <v>225112500</v>
      </c>
      <c r="D70" s="12">
        <f>+C70*B70</f>
        <v>19890798.75</v>
      </c>
      <c r="F70" t="s">
        <v>273</v>
      </c>
      <c r="G70" s="9">
        <f>+G59</f>
        <v>8.8359370314842575E-2</v>
      </c>
      <c r="H70" s="6">
        <f>+H12</f>
        <v>213672867.83042395</v>
      </c>
      <c r="I70" s="12">
        <f>+H70*G70</f>
        <v>18880000.054862842</v>
      </c>
      <c r="J70" s="12"/>
      <c r="K70" s="238"/>
      <c r="L70" s="5"/>
    </row>
    <row r="71" spans="1:26" ht="17.25" x14ac:dyDescent="0.25">
      <c r="A71" t="s">
        <v>38</v>
      </c>
      <c r="B71" s="9">
        <f>+B59</f>
        <v>8.8359370314842575E-2</v>
      </c>
      <c r="C71" s="6">
        <f>+C13</f>
        <v>275137500</v>
      </c>
      <c r="D71" s="12">
        <f>+C71*B71</f>
        <v>24310976.25</v>
      </c>
      <c r="F71" t="s">
        <v>274</v>
      </c>
      <c r="G71" s="9">
        <f>+G59</f>
        <v>8.8359370314842575E-2</v>
      </c>
      <c r="H71" s="6">
        <f>+H13</f>
        <v>286577132.16957605</v>
      </c>
      <c r="I71" s="12">
        <f>+H71*G71</f>
        <v>25321774.945137154</v>
      </c>
      <c r="J71" s="12"/>
      <c r="K71" s="1"/>
      <c r="L71" s="12"/>
    </row>
    <row r="72" spans="1:26" x14ac:dyDescent="0.25">
      <c r="A72" t="s">
        <v>327</v>
      </c>
      <c r="B72" s="9"/>
      <c r="C72" s="6"/>
      <c r="D72" s="364">
        <f>+'Data for Settlement &amp; 1st TU'!I72</f>
        <v>2167665.0533261839</v>
      </c>
      <c r="F72" t="s">
        <v>328</v>
      </c>
      <c r="G72" s="9"/>
      <c r="H72" s="6"/>
      <c r="I72" s="364">
        <f>+D72</f>
        <v>2167665.0533261839</v>
      </c>
      <c r="J72" s="12"/>
      <c r="K72" s="1"/>
      <c r="L72" s="5"/>
    </row>
    <row r="73" spans="1:26" x14ac:dyDescent="0.25">
      <c r="A73" t="s">
        <v>198</v>
      </c>
      <c r="B73" s="9">
        <f>+'Data for Settlement &amp; 1st TU'!G73</f>
        <v>-0.62071240441801245</v>
      </c>
      <c r="C73" s="6">
        <f>+D6</f>
        <v>8000000</v>
      </c>
      <c r="D73" s="364">
        <f>+B73*C73</f>
        <v>-4965699.2353440998</v>
      </c>
      <c r="F73" t="s">
        <v>198</v>
      </c>
      <c r="G73" s="9">
        <f>+B73</f>
        <v>-0.62071240441801245</v>
      </c>
      <c r="H73" s="6">
        <f>+I6</f>
        <v>8000000</v>
      </c>
      <c r="I73" s="364">
        <f>+G73*H73</f>
        <v>-4965699.2353440998</v>
      </c>
      <c r="J73" s="12"/>
      <c r="K73" s="4"/>
      <c r="L73" s="239"/>
    </row>
    <row r="74" spans="1:26" x14ac:dyDescent="0.25">
      <c r="B74" s="9"/>
      <c r="C74" s="6"/>
      <c r="D74" s="364"/>
      <c r="G74" s="9"/>
      <c r="H74" s="6"/>
      <c r="I74" s="365"/>
      <c r="J74" s="12"/>
      <c r="K74" s="4"/>
      <c r="L74" s="239"/>
    </row>
    <row r="75" spans="1:26" ht="15.75" thickBot="1" x14ac:dyDescent="0.3">
      <c r="A75" t="s">
        <v>200</v>
      </c>
      <c r="B75" s="9"/>
      <c r="C75" s="6"/>
      <c r="D75" s="291">
        <f>SUM(D67:D74)</f>
        <v>64823040.817982092</v>
      </c>
      <c r="F75" t="s">
        <v>200</v>
      </c>
      <c r="G75" s="9"/>
      <c r="H75" s="6"/>
      <c r="I75" s="291">
        <f>SUM(I67:I74)</f>
        <v>64823040.817982092</v>
      </c>
      <c r="J75" s="17"/>
      <c r="K75" s="17"/>
      <c r="L75" s="96"/>
      <c r="M75" s="96"/>
    </row>
    <row r="76" spans="1:26" ht="15.75" thickTop="1" x14ac:dyDescent="0.25">
      <c r="B76" s="437"/>
      <c r="C76" s="437" t="s">
        <v>322</v>
      </c>
      <c r="D76" s="436">
        <f>(+D67+D68+D73)/D14</f>
        <v>3.0777395169838205E-2</v>
      </c>
      <c r="G76" s="437"/>
      <c r="H76" s="437" t="s">
        <v>322</v>
      </c>
      <c r="I76" s="436">
        <f>(+I67+I68+I73)/I14</f>
        <v>3.0777395169838205E-2</v>
      </c>
    </row>
    <row r="77" spans="1:26" ht="18.75" x14ac:dyDescent="0.3">
      <c r="A77" s="21" t="s">
        <v>120</v>
      </c>
      <c r="F77" s="21" t="s">
        <v>122</v>
      </c>
      <c r="I77" s="5"/>
      <c r="U77" s="5"/>
      <c r="X77" s="6"/>
      <c r="Y77" s="6"/>
      <c r="Z77" s="6"/>
    </row>
    <row r="78" spans="1:26" ht="18.75" x14ac:dyDescent="0.3">
      <c r="A78" s="21"/>
      <c r="F78" s="21"/>
      <c r="X78" s="32"/>
      <c r="Y78" s="9"/>
    </row>
    <row r="79" spans="1:26" x14ac:dyDescent="0.25">
      <c r="A79" s="22" t="s">
        <v>116</v>
      </c>
      <c r="F79" s="22" t="s">
        <v>126</v>
      </c>
      <c r="X79" s="50"/>
      <c r="Y79" s="50"/>
      <c r="Z79" s="50"/>
    </row>
    <row r="80" spans="1:26" ht="30" x14ac:dyDescent="0.25">
      <c r="A80" s="22"/>
      <c r="B80" s="26" t="s">
        <v>17</v>
      </c>
      <c r="C80" s="19" t="s">
        <v>14</v>
      </c>
      <c r="D80" s="19" t="s">
        <v>37</v>
      </c>
      <c r="F80" s="22"/>
      <c r="G80" s="26" t="s">
        <v>281</v>
      </c>
      <c r="H80" s="19" t="s">
        <v>14</v>
      </c>
      <c r="I80" s="19" t="s">
        <v>37</v>
      </c>
      <c r="K80" s="26" t="s">
        <v>375</v>
      </c>
      <c r="L80" s="26" t="s">
        <v>379</v>
      </c>
      <c r="U80" s="50"/>
      <c r="V80" s="29"/>
      <c r="X80" s="50"/>
    </row>
    <row r="81" spans="1:24" x14ac:dyDescent="0.25">
      <c r="A81" t="s">
        <v>2</v>
      </c>
      <c r="B81" s="3">
        <f t="shared" ref="B81:B89" si="12">+D40</f>
        <v>0.10299999999999999</v>
      </c>
      <c r="C81" s="1">
        <f t="shared" ref="C81:C89" si="13">+C40</f>
        <v>4999999.9999999944</v>
      </c>
      <c r="D81" s="23">
        <f>+C81*B81</f>
        <v>514999.99999999942</v>
      </c>
      <c r="F81" t="s">
        <v>2</v>
      </c>
      <c r="G81" s="366">
        <f t="shared" ref="G81:G89" si="14">+D40</f>
        <v>0.10299999999999999</v>
      </c>
      <c r="H81" s="367">
        <f t="shared" ref="H81:H89" si="15">+H40</f>
        <v>4227076.7716535488</v>
      </c>
      <c r="I81" s="358">
        <f>+H81*G81</f>
        <v>435388.90748031548</v>
      </c>
      <c r="J81" s="108"/>
      <c r="K81" s="111">
        <f>'Data for Settlement &amp; 1st TU'!O81</f>
        <v>257499.99999999971</v>
      </c>
      <c r="L81" s="364">
        <f>I81-K81</f>
        <v>177888.90748031577</v>
      </c>
      <c r="U81" s="23"/>
      <c r="V81" s="23"/>
      <c r="W81" s="23"/>
      <c r="X81" s="23"/>
    </row>
    <row r="82" spans="1:24" x14ac:dyDescent="0.25">
      <c r="A82" t="s">
        <v>3</v>
      </c>
      <c r="B82" s="3">
        <f t="shared" si="12"/>
        <v>0.125</v>
      </c>
      <c r="C82" s="1">
        <f t="shared" si="13"/>
        <v>7000000</v>
      </c>
      <c r="D82" s="23">
        <f t="shared" ref="D82:D89" si="16">+C82*B82</f>
        <v>875000</v>
      </c>
      <c r="F82" t="s">
        <v>3</v>
      </c>
      <c r="G82" s="366">
        <f t="shared" si="14"/>
        <v>0.125</v>
      </c>
      <c r="H82" s="367">
        <f t="shared" si="15"/>
        <v>7796608.2677165307</v>
      </c>
      <c r="I82" s="358">
        <f t="shared" ref="I82:I89" si="17">+H82*G82</f>
        <v>974576.03346456634</v>
      </c>
      <c r="J82" s="108"/>
      <c r="K82" s="111">
        <f>'Data for Settlement &amp; 1st TU'!O82</f>
        <v>437500</v>
      </c>
      <c r="L82" s="364">
        <f t="shared" ref="L82:L90" si="18">I82-K82</f>
        <v>537076.03346456634</v>
      </c>
      <c r="U82" s="23"/>
      <c r="V82" s="23"/>
      <c r="W82" s="23"/>
      <c r="X82" s="23"/>
    </row>
    <row r="83" spans="1:24" x14ac:dyDescent="0.25">
      <c r="A83" t="s">
        <v>286</v>
      </c>
      <c r="B83" s="366">
        <f t="shared" si="12"/>
        <v>8.6999999999999994E-2</v>
      </c>
      <c r="C83" s="367">
        <f t="shared" si="13"/>
        <v>95000000</v>
      </c>
      <c r="D83" s="358">
        <f t="shared" si="16"/>
        <v>8264999.9999999991</v>
      </c>
      <c r="F83" t="s">
        <v>286</v>
      </c>
      <c r="G83" s="366">
        <f t="shared" si="14"/>
        <v>8.6999999999999994E-2</v>
      </c>
      <c r="H83" s="367">
        <f t="shared" si="15"/>
        <v>83586349.606299177</v>
      </c>
      <c r="I83" s="358">
        <f t="shared" si="17"/>
        <v>7272012.4157480281</v>
      </c>
      <c r="J83" s="108"/>
      <c r="K83" s="111">
        <f>'Data for Settlement &amp; 1st TU'!O83</f>
        <v>4132499.9999999995</v>
      </c>
      <c r="L83" s="364">
        <f t="shared" si="18"/>
        <v>3139512.4157480286</v>
      </c>
      <c r="U83" s="23"/>
      <c r="V83" s="23"/>
      <c r="W83" s="23"/>
      <c r="X83" s="23"/>
    </row>
    <row r="84" spans="1:24" x14ac:dyDescent="0.25">
      <c r="A84" t="s">
        <v>287</v>
      </c>
      <c r="B84" s="366">
        <f t="shared" si="12"/>
        <v>0.122</v>
      </c>
      <c r="C84" s="367">
        <f t="shared" si="13"/>
        <v>47000000</v>
      </c>
      <c r="D84" s="358">
        <f t="shared" si="16"/>
        <v>5734000</v>
      </c>
      <c r="F84" t="s">
        <v>287</v>
      </c>
      <c r="G84" s="366">
        <f t="shared" si="14"/>
        <v>0.122</v>
      </c>
      <c r="H84" s="367">
        <f t="shared" si="15"/>
        <v>50724921.259842589</v>
      </c>
      <c r="I84" s="358">
        <f t="shared" si="17"/>
        <v>6188440.3937007962</v>
      </c>
      <c r="J84" s="108"/>
      <c r="K84" s="111">
        <f>'Data for Settlement &amp; 1st TU'!O84</f>
        <v>2867000</v>
      </c>
      <c r="L84" s="364">
        <f t="shared" si="18"/>
        <v>3321440.3937007962</v>
      </c>
      <c r="U84" s="23"/>
      <c r="V84" s="23"/>
      <c r="W84" s="23"/>
      <c r="X84" s="23"/>
    </row>
    <row r="85" spans="1:24" x14ac:dyDescent="0.25">
      <c r="A85" t="s">
        <v>288</v>
      </c>
      <c r="B85" s="366">
        <f t="shared" si="12"/>
        <v>0.182</v>
      </c>
      <c r="C85" s="367">
        <f t="shared" si="13"/>
        <v>59000000.000000007</v>
      </c>
      <c r="D85" s="358">
        <f t="shared" si="16"/>
        <v>10738000.000000002</v>
      </c>
      <c r="F85" t="s">
        <v>288</v>
      </c>
      <c r="G85" s="366">
        <f t="shared" si="14"/>
        <v>0.182</v>
      </c>
      <c r="H85" s="367">
        <f t="shared" si="15"/>
        <v>57488244.094488271</v>
      </c>
      <c r="I85" s="358">
        <f t="shared" si="17"/>
        <v>10462860.425196866</v>
      </c>
      <c r="J85" s="108"/>
      <c r="K85" s="111">
        <f>'Data for Settlement &amp; 1st TU'!O85</f>
        <v>5369000.0000000009</v>
      </c>
      <c r="L85" s="364">
        <f t="shared" si="18"/>
        <v>5093860.4251968646</v>
      </c>
      <c r="U85" s="23"/>
      <c r="V85" s="23"/>
      <c r="W85" s="23"/>
      <c r="X85" s="23"/>
    </row>
    <row r="86" spans="1:24" x14ac:dyDescent="0.25">
      <c r="A86" t="s">
        <v>289</v>
      </c>
      <c r="B86" s="366">
        <f t="shared" si="12"/>
        <v>8.6999999999999994E-2</v>
      </c>
      <c r="C86" s="367">
        <f t="shared" si="13"/>
        <v>5000000</v>
      </c>
      <c r="D86" s="358">
        <f>+C86*B86</f>
        <v>434999.99999999994</v>
      </c>
      <c r="F86" t="s">
        <v>289</v>
      </c>
      <c r="G86" s="366">
        <f t="shared" si="14"/>
        <v>8.6999999999999994E-2</v>
      </c>
      <c r="H86" s="367">
        <f t="shared" si="15"/>
        <v>4110720.0000000005</v>
      </c>
      <c r="I86" s="358">
        <f>+H86*G86</f>
        <v>357632.64</v>
      </c>
      <c r="J86" s="108"/>
      <c r="K86" s="111">
        <f>'Data for Settlement &amp; 1st TU'!O86</f>
        <v>217499.99999999997</v>
      </c>
      <c r="L86" s="364">
        <f>I86-K86</f>
        <v>140132.64000000004</v>
      </c>
      <c r="U86" s="23"/>
      <c r="V86" s="23"/>
      <c r="W86" s="23"/>
      <c r="X86" s="23"/>
    </row>
    <row r="87" spans="1:24" x14ac:dyDescent="0.25">
      <c r="A87" t="s">
        <v>290</v>
      </c>
      <c r="B87" s="366">
        <f t="shared" si="12"/>
        <v>0.122</v>
      </c>
      <c r="C87" s="367">
        <f t="shared" si="13"/>
        <v>2000000</v>
      </c>
      <c r="D87" s="358">
        <f t="shared" si="16"/>
        <v>244000</v>
      </c>
      <c r="F87" t="s">
        <v>290</v>
      </c>
      <c r="G87" s="366">
        <f t="shared" si="14"/>
        <v>0.122</v>
      </c>
      <c r="H87" s="367">
        <f t="shared" si="15"/>
        <v>2055360.0000000002</v>
      </c>
      <c r="I87" s="358">
        <f t="shared" si="17"/>
        <v>250753.92000000001</v>
      </c>
      <c r="J87" s="108"/>
      <c r="K87" s="111">
        <f>'Data for Settlement &amp; 1st TU'!O87</f>
        <v>122000</v>
      </c>
      <c r="L87" s="364">
        <f t="shared" si="18"/>
        <v>128753.92000000001</v>
      </c>
      <c r="U87" s="23"/>
      <c r="V87" s="23"/>
      <c r="W87" s="23"/>
      <c r="X87" s="23"/>
    </row>
    <row r="88" spans="1:24" x14ac:dyDescent="0.25">
      <c r="A88" t="s">
        <v>291</v>
      </c>
      <c r="B88" s="366">
        <f t="shared" si="12"/>
        <v>0.28599999999999998</v>
      </c>
      <c r="C88" s="367">
        <f t="shared" si="13"/>
        <v>1000000</v>
      </c>
      <c r="D88" s="358">
        <f>+C88*B88</f>
        <v>286000</v>
      </c>
      <c r="F88" t="s">
        <v>291</v>
      </c>
      <c r="G88" s="366">
        <f t="shared" si="14"/>
        <v>0.28599999999999998</v>
      </c>
      <c r="H88" s="367">
        <f t="shared" si="15"/>
        <v>1027680.0000000001</v>
      </c>
      <c r="I88" s="358">
        <f>+H88*G88</f>
        <v>293916.48</v>
      </c>
      <c r="J88" s="108"/>
      <c r="K88" s="111">
        <f>'Data for Settlement &amp; 1st TU'!O88</f>
        <v>143000</v>
      </c>
      <c r="L88" s="364">
        <f>I88-K88</f>
        <v>150916.47999999998</v>
      </c>
      <c r="U88" s="23"/>
      <c r="V88" s="23"/>
      <c r="W88" s="23"/>
      <c r="X88" s="23"/>
    </row>
    <row r="89" spans="1:24" x14ac:dyDescent="0.25">
      <c r="A89" t="s">
        <v>292</v>
      </c>
      <c r="B89" s="366">
        <f t="shared" si="12"/>
        <v>2.8000000000000001E-2</v>
      </c>
      <c r="C89" s="367">
        <f t="shared" si="13"/>
        <v>4000000</v>
      </c>
      <c r="D89" s="358">
        <f t="shared" si="16"/>
        <v>112000</v>
      </c>
      <c r="F89" t="s">
        <v>292</v>
      </c>
      <c r="G89" s="366">
        <f t="shared" si="14"/>
        <v>2.8000000000000001E-2</v>
      </c>
      <c r="H89" s="367">
        <f t="shared" si="15"/>
        <v>3083040</v>
      </c>
      <c r="I89" s="358">
        <f t="shared" si="17"/>
        <v>86325.119999999995</v>
      </c>
      <c r="J89" s="108"/>
      <c r="K89" s="111">
        <f>'Data for Settlement &amp; 1st TU'!O89</f>
        <v>56000</v>
      </c>
      <c r="L89" s="364">
        <f t="shared" si="18"/>
        <v>30325.119999999995</v>
      </c>
      <c r="U89" s="23"/>
      <c r="V89" s="23"/>
      <c r="W89" s="23"/>
      <c r="X89" s="23"/>
    </row>
    <row r="90" spans="1:24" ht="15.75" thickBot="1" x14ac:dyDescent="0.3">
      <c r="A90" t="s">
        <v>18</v>
      </c>
      <c r="B90" s="108"/>
      <c r="C90" s="368">
        <f>SUM(C81:C89)</f>
        <v>225000000</v>
      </c>
      <c r="D90" s="321">
        <f>SUM(D81:D89)</f>
        <v>27204000</v>
      </c>
      <c r="F90" t="s">
        <v>26</v>
      </c>
      <c r="G90" s="108"/>
      <c r="H90" s="368">
        <f>SUM(H81:H89)</f>
        <v>214100000.00000012</v>
      </c>
      <c r="I90" s="321">
        <f>SUM(I81:I89)</f>
        <v>26321906.335590579</v>
      </c>
      <c r="J90" s="108"/>
      <c r="K90" s="368">
        <f>SUM(K81:K89)</f>
        <v>13602000</v>
      </c>
      <c r="L90" s="321">
        <f t="shared" si="18"/>
        <v>12719906.335590579</v>
      </c>
      <c r="U90" s="24"/>
      <c r="V90" s="45"/>
      <c r="W90" s="45"/>
      <c r="X90" s="45"/>
    </row>
    <row r="91" spans="1:24" ht="15.75" thickTop="1" x14ac:dyDescent="0.25">
      <c r="C91" s="7"/>
      <c r="D91" s="24"/>
      <c r="K91" s="51"/>
      <c r="U91" s="5"/>
      <c r="V91" s="5"/>
      <c r="W91" s="5"/>
      <c r="X91" s="57"/>
    </row>
    <row r="92" spans="1:24" x14ac:dyDescent="0.25">
      <c r="A92" s="22" t="s">
        <v>226</v>
      </c>
      <c r="F92" s="22" t="s">
        <v>219</v>
      </c>
      <c r="K92" s="57"/>
      <c r="L92" s="9"/>
      <c r="U92" s="24"/>
      <c r="V92" s="45"/>
      <c r="W92" s="45"/>
      <c r="X92" s="45"/>
    </row>
    <row r="93" spans="1:24" ht="30" x14ac:dyDescent="0.25">
      <c r="A93" s="22"/>
      <c r="B93" s="19" t="s">
        <v>36</v>
      </c>
      <c r="C93" s="40" t="s">
        <v>14</v>
      </c>
      <c r="D93" s="41" t="s">
        <v>37</v>
      </c>
      <c r="F93" s="22"/>
      <c r="G93" s="19" t="s">
        <v>36</v>
      </c>
      <c r="H93" s="40" t="s">
        <v>14</v>
      </c>
      <c r="I93" s="46" t="s">
        <v>37</v>
      </c>
      <c r="K93" s="26" t="s">
        <v>375</v>
      </c>
      <c r="L93" s="26" t="s">
        <v>379</v>
      </c>
      <c r="U93" s="24"/>
      <c r="V93" s="45"/>
      <c r="W93" s="45"/>
      <c r="X93" s="45"/>
    </row>
    <row r="94" spans="1:24" x14ac:dyDescent="0.25">
      <c r="A94" t="s">
        <v>127</v>
      </c>
      <c r="B94" s="9">
        <f>+B55</f>
        <v>2.8624405852328703E-2</v>
      </c>
      <c r="C94" s="7">
        <f>+D34</f>
        <v>310000000</v>
      </c>
      <c r="D94" s="45">
        <f>+B94*C94</f>
        <v>8873565.8142218981</v>
      </c>
      <c r="F94" t="s">
        <v>134</v>
      </c>
      <c r="G94" s="9">
        <f>+G55</f>
        <v>2.7763164898064498E-2</v>
      </c>
      <c r="H94" s="42">
        <f>+I34</f>
        <v>322150000</v>
      </c>
      <c r="I94" s="47">
        <f>+G94*H94</f>
        <v>8943903.5719114784</v>
      </c>
      <c r="K94" s="5">
        <f>'Data for Settlement &amp; 1st TU'!O94</f>
        <v>4436782.907110949</v>
      </c>
      <c r="L94" s="5">
        <f>I94-K94</f>
        <v>4507120.6648005294</v>
      </c>
      <c r="M94" s="5"/>
      <c r="U94" s="24"/>
      <c r="V94" s="45"/>
      <c r="W94" s="45"/>
      <c r="X94" s="45"/>
    </row>
    <row r="95" spans="1:24" x14ac:dyDescent="0.25">
      <c r="A95" t="s">
        <v>118</v>
      </c>
      <c r="B95" s="9"/>
      <c r="C95" s="7"/>
      <c r="D95" s="45">
        <f>+D69</f>
        <v>1980000</v>
      </c>
      <c r="F95" t="s">
        <v>118</v>
      </c>
      <c r="G95" s="9"/>
      <c r="H95" s="42"/>
      <c r="I95" s="47">
        <f>+I69</f>
        <v>1980000</v>
      </c>
      <c r="K95" s="4">
        <f>'Data for Settlement &amp; 1st TU'!O95</f>
        <v>1980000</v>
      </c>
      <c r="L95" s="5">
        <f t="shared" ref="L95:L96" si="19">I95-K95</f>
        <v>0</v>
      </c>
      <c r="M95" s="5"/>
      <c r="O95" s="29"/>
      <c r="U95" s="24"/>
      <c r="V95" s="45"/>
      <c r="W95" s="45"/>
      <c r="X95" s="45"/>
    </row>
    <row r="96" spans="1:24" x14ac:dyDescent="0.25">
      <c r="A96" t="s">
        <v>100</v>
      </c>
      <c r="B96" s="9">
        <f>+B56</f>
        <v>0.10589999999999999</v>
      </c>
      <c r="C96" s="7">
        <f>+C34</f>
        <v>275000000</v>
      </c>
      <c r="D96" s="45">
        <f>+B96*C96</f>
        <v>29122500</v>
      </c>
      <c r="F96" t="s">
        <v>100</v>
      </c>
      <c r="G96" s="9">
        <f>+G56</f>
        <v>0.10589999999999999</v>
      </c>
      <c r="H96" s="7">
        <f>+H34</f>
        <v>287150000</v>
      </c>
      <c r="I96" s="45">
        <f>+G96*H96</f>
        <v>30409185</v>
      </c>
      <c r="K96" s="5">
        <f>'Data for Settlement &amp; 1st TU'!O96</f>
        <v>14561250</v>
      </c>
      <c r="L96" s="5">
        <f t="shared" si="19"/>
        <v>15847935</v>
      </c>
      <c r="M96" s="5"/>
      <c r="O96" s="50"/>
      <c r="U96" s="24"/>
      <c r="V96" s="45"/>
      <c r="W96" s="45"/>
      <c r="X96" s="45"/>
    </row>
    <row r="97" spans="1:16" ht="15.75" thickBot="1" x14ac:dyDescent="0.3">
      <c r="C97" s="7"/>
      <c r="D97" s="20">
        <f>SUM(D94:D96)</f>
        <v>39976065.814221896</v>
      </c>
      <c r="H97" s="7"/>
      <c r="I97" s="20">
        <f>SUM(I94:I96)</f>
        <v>41333088.571911477</v>
      </c>
      <c r="J97" s="24"/>
      <c r="K97" s="20">
        <f t="shared" ref="K97:L97" si="20">SUM(K94:K96)</f>
        <v>20978032.907110948</v>
      </c>
      <c r="L97" s="20">
        <f t="shared" si="20"/>
        <v>20355055.664800528</v>
      </c>
      <c r="M97" s="97"/>
    </row>
    <row r="98" spans="1:16" ht="15.75" thickTop="1" x14ac:dyDescent="0.25">
      <c r="C98" s="7"/>
      <c r="D98" s="24"/>
      <c r="H98" s="7"/>
      <c r="I98" s="24"/>
      <c r="J98" s="24"/>
      <c r="K98" s="24"/>
      <c r="L98" s="45"/>
      <c r="M98" s="97"/>
    </row>
    <row r="99" spans="1:16" x14ac:dyDescent="0.25">
      <c r="A99" s="22" t="s">
        <v>312</v>
      </c>
      <c r="D99" s="5"/>
      <c r="F99" s="22" t="s">
        <v>313</v>
      </c>
      <c r="I99" s="5"/>
      <c r="J99" s="24"/>
      <c r="K99" s="24"/>
      <c r="L99" s="45"/>
      <c r="M99" s="97"/>
    </row>
    <row r="100" spans="1:16" x14ac:dyDescent="0.25">
      <c r="D100" s="5"/>
      <c r="I100" s="5"/>
      <c r="J100" s="24"/>
      <c r="K100" s="24"/>
      <c r="L100" s="24"/>
      <c r="M100" s="7"/>
      <c r="N100" s="211"/>
    </row>
    <row r="101" spans="1:16" x14ac:dyDescent="0.25">
      <c r="A101" s="22"/>
      <c r="B101" s="19" t="s">
        <v>36</v>
      </c>
      <c r="C101" s="40" t="s">
        <v>14</v>
      </c>
      <c r="D101" s="41" t="s">
        <v>37</v>
      </c>
      <c r="F101" s="22"/>
      <c r="G101" s="19" t="s">
        <v>36</v>
      </c>
      <c r="H101" s="40" t="s">
        <v>14</v>
      </c>
      <c r="I101" s="41" t="s">
        <v>37</v>
      </c>
      <c r="J101" s="24"/>
      <c r="K101" s="243"/>
      <c r="L101" s="24"/>
      <c r="M101" s="56"/>
      <c r="P101" s="29"/>
    </row>
    <row r="102" spans="1:16" x14ac:dyDescent="0.25">
      <c r="A102" t="s">
        <v>235</v>
      </c>
      <c r="B102" s="472">
        <f>B109</f>
        <v>3.3122232598371396E-2</v>
      </c>
      <c r="C102" s="1">
        <f>+D33</f>
        <v>225000000</v>
      </c>
      <c r="D102" s="104">
        <f>+'Data for Settlement &amp; 1st TU'!I102</f>
        <v>7452502.3346335636</v>
      </c>
      <c r="F102" t="s">
        <v>237</v>
      </c>
      <c r="G102" s="408">
        <f>+G109</f>
        <v>3.5140133225143269E-2</v>
      </c>
      <c r="H102" s="1">
        <f>+I33</f>
        <v>214100000</v>
      </c>
      <c r="I102" s="104">
        <f>+G102*H102</f>
        <v>7523502.5235031741</v>
      </c>
      <c r="J102" s="84"/>
      <c r="K102" s="6"/>
      <c r="L102" s="24"/>
      <c r="M102" s="241"/>
      <c r="N102" s="29"/>
      <c r="O102" s="29"/>
      <c r="P102" s="29"/>
    </row>
    <row r="103" spans="1:16" x14ac:dyDescent="0.25">
      <c r="A103" t="s">
        <v>236</v>
      </c>
      <c r="B103" s="9">
        <f>+D103/C103</f>
        <v>2.8624405852328703E-2</v>
      </c>
      <c r="C103" s="1">
        <f>+D34</f>
        <v>310000000</v>
      </c>
      <c r="D103" s="104">
        <f>+'Data for Settlement &amp; 1st TU'!I103</f>
        <v>8873565.8142218981</v>
      </c>
      <c r="F103" t="s">
        <v>238</v>
      </c>
      <c r="G103" s="9">
        <f>+I103/H103</f>
        <v>2.7763164898064498E-2</v>
      </c>
      <c r="H103" s="1">
        <f>+I34</f>
        <v>322150000</v>
      </c>
      <c r="I103" s="59">
        <v>8943903.5719114784</v>
      </c>
      <c r="J103" s="84" t="s">
        <v>302</v>
      </c>
      <c r="K103" s="29"/>
      <c r="L103" s="24"/>
      <c r="M103" s="241"/>
      <c r="N103" s="29"/>
      <c r="O103" s="25"/>
      <c r="P103" s="29"/>
    </row>
    <row r="104" spans="1:16" ht="15.75" thickBot="1" x14ac:dyDescent="0.3">
      <c r="B104" s="61">
        <f>+D104/C104</f>
        <v>3.0516015231505537E-2</v>
      </c>
      <c r="C104" s="62">
        <f>SUM(C102:C103)</f>
        <v>535000000</v>
      </c>
      <c r="D104" s="60">
        <f>+D102+D103</f>
        <v>16326068.148855463</v>
      </c>
      <c r="G104" s="61">
        <f>+I104/H104</f>
        <v>3.0708449595178842E-2</v>
      </c>
      <c r="H104" s="62">
        <f>SUM(H102:H103)</f>
        <v>536250000</v>
      </c>
      <c r="I104" s="60">
        <f>+I102+I103</f>
        <v>16467406.095414653</v>
      </c>
      <c r="J104" s="84"/>
      <c r="K104" s="7"/>
      <c r="L104" s="5"/>
      <c r="M104" s="242"/>
      <c r="N104" s="24"/>
      <c r="O104" s="5"/>
    </row>
    <row r="105" spans="1:16" ht="15.75" thickTop="1" x14ac:dyDescent="0.25">
      <c r="B105" s="9"/>
      <c r="C105" s="7"/>
      <c r="D105" s="5"/>
      <c r="G105" s="9"/>
      <c r="H105" s="7"/>
      <c r="I105" s="5"/>
      <c r="J105" s="84"/>
      <c r="K105" s="7"/>
      <c r="L105" s="5"/>
      <c r="M105" s="242"/>
      <c r="N105" s="24"/>
      <c r="O105" s="5"/>
    </row>
    <row r="106" spans="1:16" x14ac:dyDescent="0.25">
      <c r="A106" s="418" t="s">
        <v>406</v>
      </c>
      <c r="B106" s="411"/>
      <c r="C106" s="411"/>
      <c r="D106" s="410"/>
      <c r="F106" s="418" t="s">
        <v>339</v>
      </c>
      <c r="G106" s="411"/>
      <c r="H106" s="411"/>
      <c r="I106" s="410"/>
      <c r="J106" s="84"/>
      <c r="K106" s="7"/>
      <c r="L106" s="5"/>
      <c r="M106" s="242"/>
      <c r="N106" s="24"/>
      <c r="O106" s="5"/>
    </row>
    <row r="107" spans="1:16" x14ac:dyDescent="0.25">
      <c r="A107" s="411"/>
      <c r="B107" s="411"/>
      <c r="C107" s="411"/>
      <c r="D107" s="410"/>
      <c r="F107" s="411"/>
      <c r="G107" s="411"/>
      <c r="H107" s="411"/>
      <c r="I107" s="410"/>
      <c r="J107" s="84"/>
      <c r="K107" s="7"/>
      <c r="L107" s="5"/>
      <c r="M107" s="242"/>
      <c r="N107" s="24"/>
      <c r="O107" s="5"/>
    </row>
    <row r="108" spans="1:16" x14ac:dyDescent="0.25">
      <c r="A108" s="418"/>
      <c r="B108" s="412" t="s">
        <v>36</v>
      </c>
      <c r="C108" s="419" t="s">
        <v>14</v>
      </c>
      <c r="D108" s="420" t="s">
        <v>37</v>
      </c>
      <c r="F108" s="418"/>
      <c r="G108" s="412" t="s">
        <v>36</v>
      </c>
      <c r="H108" s="419" t="s">
        <v>14</v>
      </c>
      <c r="I108" s="420" t="s">
        <v>37</v>
      </c>
      <c r="J108" s="84"/>
      <c r="K108" s="7"/>
      <c r="L108" s="5"/>
      <c r="M108" s="242"/>
      <c r="N108" s="24"/>
      <c r="O108" s="5"/>
    </row>
    <row r="109" spans="1:16" x14ac:dyDescent="0.25">
      <c r="A109" s="411" t="s">
        <v>319</v>
      </c>
      <c r="B109" s="408">
        <f>D109/C109</f>
        <v>3.3122232598371396E-2</v>
      </c>
      <c r="C109" s="421">
        <f>D12</f>
        <v>225112500</v>
      </c>
      <c r="D109" s="422">
        <f>D67+D68+D73-D110</f>
        <v>7456228.5858008806</v>
      </c>
      <c r="F109" s="411" t="s">
        <v>319</v>
      </c>
      <c r="G109" s="408">
        <f>I109/H109</f>
        <v>3.5140133225143269E-2</v>
      </c>
      <c r="H109" s="421">
        <f>I12</f>
        <v>213672867.83042395</v>
      </c>
      <c r="I109" s="422">
        <f>(I67+I68+I73)-I110</f>
        <v>7508493.0421595275</v>
      </c>
      <c r="J109" s="84"/>
      <c r="K109" s="85"/>
      <c r="L109" s="5"/>
      <c r="M109" s="242"/>
      <c r="N109" s="24"/>
      <c r="O109" s="5"/>
    </row>
    <row r="110" spans="1:16" x14ac:dyDescent="0.25">
      <c r="A110" s="411" t="s">
        <v>320</v>
      </c>
      <c r="B110" s="408">
        <f>B103*(D76/('Data for Settlement &amp; 1st TU'!B60+'Data for Settlement &amp; 1st TU'!B61))</f>
        <v>2.9075401003925735E-2</v>
      </c>
      <c r="C110" s="421">
        <f>D13</f>
        <v>310137500</v>
      </c>
      <c r="D110" s="422">
        <f>+B110*C110</f>
        <v>9017372.1788550187</v>
      </c>
      <c r="F110" s="411" t="s">
        <v>320</v>
      </c>
      <c r="G110" s="408">
        <f>+G103*(+'Data for Settlement &amp; 1st TU'!I76/(+'Data for Settlement &amp; 1st TU'!G60+'Data for Settlement &amp; 1st TU'!G61))</f>
        <v>2.7878561084277709E-2</v>
      </c>
      <c r="H110" s="421">
        <f>I13</f>
        <v>321577132.16957605</v>
      </c>
      <c r="I110" s="422">
        <f>G110*H110</f>
        <v>8965107.7224963717</v>
      </c>
      <c r="J110" s="84"/>
      <c r="K110" s="85"/>
      <c r="L110" s="5"/>
      <c r="M110" s="242"/>
      <c r="N110" s="24"/>
      <c r="O110" s="5"/>
    </row>
    <row r="111" spans="1:16" ht="15.75" thickBot="1" x14ac:dyDescent="0.3">
      <c r="A111" s="411"/>
      <c r="B111" s="415">
        <f>+D111/C111</f>
        <v>3.0777395169838205E-2</v>
      </c>
      <c r="C111" s="416">
        <f>SUM(C109:C110)</f>
        <v>535250000</v>
      </c>
      <c r="D111" s="417">
        <f>+D109+D110</f>
        <v>16473600.764655899</v>
      </c>
      <c r="F111" s="411"/>
      <c r="G111" s="415">
        <f>I111/H111</f>
        <v>3.0777395169838205E-2</v>
      </c>
      <c r="H111" s="416">
        <f>SUM(H109:H110)</f>
        <v>535250000</v>
      </c>
      <c r="I111" s="417">
        <f>SUM(I109:I110)</f>
        <v>16473600.764655899</v>
      </c>
      <c r="J111" s="84"/>
      <c r="K111" s="7"/>
      <c r="L111" s="5"/>
      <c r="M111" s="242"/>
      <c r="N111" s="24"/>
      <c r="O111" s="5"/>
    </row>
    <row r="112" spans="1:16" ht="15.75" thickTop="1" x14ac:dyDescent="0.25">
      <c r="B112" s="9"/>
      <c r="C112" s="7"/>
      <c r="D112" s="5"/>
      <c r="G112" s="9"/>
      <c r="H112" s="7"/>
      <c r="I112" s="5"/>
      <c r="J112" s="84"/>
      <c r="K112" s="7"/>
      <c r="L112" s="5"/>
      <c r="M112" s="242"/>
      <c r="N112" s="24"/>
      <c r="O112" s="5"/>
    </row>
    <row r="113" spans="3:14" x14ac:dyDescent="0.25">
      <c r="G113" s="57"/>
      <c r="H113" s="138"/>
      <c r="I113" s="7"/>
      <c r="J113" s="24"/>
      <c r="K113" s="24"/>
      <c r="L113" s="247"/>
      <c r="N113" s="7"/>
    </row>
    <row r="114" spans="3:14" ht="145.5" customHeight="1" x14ac:dyDescent="0.25">
      <c r="C114" s="7"/>
      <c r="D114" s="24"/>
      <c r="F114" s="492" t="s">
        <v>407</v>
      </c>
      <c r="G114" s="492"/>
      <c r="H114" s="492"/>
      <c r="I114" s="492"/>
      <c r="J114" s="24"/>
      <c r="K114" s="80"/>
      <c r="L114" s="243"/>
      <c r="M114" s="85"/>
    </row>
    <row r="115" spans="3:14" x14ac:dyDescent="0.25">
      <c r="F115" s="489"/>
      <c r="G115" s="489"/>
      <c r="H115" s="489"/>
      <c r="I115" s="489"/>
      <c r="L115" s="237"/>
    </row>
    <row r="116" spans="3:14" x14ac:dyDescent="0.25">
      <c r="F116" s="489"/>
      <c r="G116" s="489"/>
      <c r="H116" s="489"/>
      <c r="I116" s="489"/>
    </row>
    <row r="119" spans="3:14" x14ac:dyDescent="0.25">
      <c r="F119" s="22"/>
      <c r="G119" s="19"/>
      <c r="H119" s="71"/>
      <c r="I119" s="46"/>
      <c r="K119" s="51"/>
    </row>
    <row r="120" spans="3:14" x14ac:dyDescent="0.25">
      <c r="G120" s="9"/>
      <c r="H120" s="69"/>
      <c r="I120" s="45"/>
      <c r="K120" s="58"/>
    </row>
    <row r="121" spans="3:14" x14ac:dyDescent="0.25">
      <c r="G121" s="9"/>
      <c r="H121" s="69"/>
      <c r="I121" s="45"/>
    </row>
    <row r="122" spans="3:14" x14ac:dyDescent="0.25">
      <c r="I122" s="5"/>
    </row>
    <row r="125" spans="3:14" x14ac:dyDescent="0.25">
      <c r="I125" s="1"/>
    </row>
    <row r="126" spans="3:14" x14ac:dyDescent="0.25">
      <c r="I126" s="1"/>
    </row>
    <row r="127" spans="3:14" x14ac:dyDescent="0.25">
      <c r="I127" s="1"/>
    </row>
    <row r="128" spans="3:14" x14ac:dyDescent="0.25">
      <c r="I128" s="1"/>
    </row>
    <row r="129" spans="9:9" x14ac:dyDescent="0.25">
      <c r="I129" s="1"/>
    </row>
    <row r="130" spans="9:9" x14ac:dyDescent="0.25">
      <c r="I130" s="1"/>
    </row>
  </sheetData>
  <mergeCells count="5">
    <mergeCell ref="M10:O10"/>
    <mergeCell ref="P10:R10"/>
    <mergeCell ref="F114:I114"/>
    <mergeCell ref="F116:I116"/>
    <mergeCell ref="F115:I115"/>
  </mergeCells>
  <pageMargins left="0.7" right="0.7" top="0.75" bottom="0.75" header="0.3" footer="0.3"/>
  <pageSetup paperSize="17"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55"/>
  <sheetViews>
    <sheetView topLeftCell="D19" workbookViewId="0">
      <selection activeCell="C10" sqref="C10"/>
    </sheetView>
  </sheetViews>
  <sheetFormatPr defaultRowHeight="15" x14ac:dyDescent="0.25"/>
  <cols>
    <col min="1" max="1" width="43.5703125" customWidth="1"/>
    <col min="2" max="2" width="15.85546875" customWidth="1"/>
    <col min="3" max="4" width="17.28515625" customWidth="1"/>
    <col min="5" max="5" width="19.5703125" customWidth="1"/>
    <col min="6" max="6" width="15.85546875" customWidth="1"/>
    <col min="7" max="7" width="15.7109375" bestFit="1" customWidth="1"/>
    <col min="8" max="8" width="21.28515625" customWidth="1"/>
    <col min="9" max="9" width="16.42578125" customWidth="1"/>
    <col min="10" max="10" width="20.5703125" customWidth="1"/>
    <col min="11" max="11" width="15.7109375" customWidth="1"/>
    <col min="12" max="12" width="6.28515625" customWidth="1"/>
    <col min="13" max="13" width="12.28515625" customWidth="1"/>
    <col min="14" max="14" width="11.28515625" customWidth="1"/>
    <col min="15" max="15" width="15.7109375" customWidth="1"/>
    <col min="16" max="20" width="14.7109375" customWidth="1"/>
    <col min="22" max="22" width="43.5703125" customWidth="1"/>
    <col min="23" max="23" width="11.28515625" customWidth="1"/>
    <col min="24" max="24" width="15.7109375" customWidth="1"/>
    <col min="25" max="29" width="14.7109375" customWidth="1"/>
    <col min="30" max="30" width="12.28515625" bestFit="1" customWidth="1"/>
  </cols>
  <sheetData>
    <row r="1" spans="1:30" ht="26.25" x14ac:dyDescent="0.4">
      <c r="A1" s="55" t="s">
        <v>57</v>
      </c>
      <c r="J1" s="426" t="s">
        <v>311</v>
      </c>
    </row>
    <row r="3" spans="1:30" ht="18.75" x14ac:dyDescent="0.3">
      <c r="A3" s="21" t="s">
        <v>412</v>
      </c>
      <c r="M3" s="21"/>
      <c r="V3" s="21"/>
    </row>
    <row r="4" spans="1:30" x14ac:dyDescent="0.25">
      <c r="A4" s="10"/>
      <c r="M4" s="10"/>
      <c r="V4" s="10"/>
    </row>
    <row r="5" spans="1:30" x14ac:dyDescent="0.25">
      <c r="A5" s="10" t="s">
        <v>220</v>
      </c>
      <c r="M5" s="10"/>
      <c r="V5" s="10"/>
    </row>
    <row r="6" spans="1:30" ht="30" x14ac:dyDescent="0.25">
      <c r="A6" s="33" t="s">
        <v>35</v>
      </c>
      <c r="B6" s="34" t="s">
        <v>283</v>
      </c>
      <c r="C6" s="35" t="s">
        <v>67</v>
      </c>
      <c r="D6" s="34" t="s">
        <v>29</v>
      </c>
      <c r="E6" s="35" t="s">
        <v>27</v>
      </c>
      <c r="F6" s="34" t="s">
        <v>7</v>
      </c>
      <c r="G6" s="34" t="s">
        <v>14</v>
      </c>
      <c r="H6" s="35" t="s">
        <v>77</v>
      </c>
      <c r="I6" s="35" t="s">
        <v>73</v>
      </c>
      <c r="J6" s="35" t="s">
        <v>75</v>
      </c>
      <c r="K6" s="35" t="s">
        <v>168</v>
      </c>
      <c r="M6" s="10"/>
      <c r="N6" s="19"/>
      <c r="O6" s="19"/>
      <c r="P6" s="19"/>
      <c r="Q6" s="30"/>
      <c r="R6" s="10"/>
      <c r="S6" s="19"/>
      <c r="T6" s="26"/>
      <c r="V6" s="10"/>
      <c r="W6" s="19"/>
      <c r="X6" s="19"/>
      <c r="Y6" s="19"/>
      <c r="Z6" s="30"/>
      <c r="AA6" s="10"/>
      <c r="AB6" s="19"/>
      <c r="AC6" s="26"/>
    </row>
    <row r="7" spans="1:30" x14ac:dyDescent="0.25">
      <c r="A7" s="36" t="s">
        <v>2</v>
      </c>
      <c r="B7" s="369">
        <f>+'Data for 2nd TU'!D40</f>
        <v>0.10299999999999999</v>
      </c>
      <c r="C7" s="286">
        <f>+'Data for 2nd TU'!$B$54</f>
        <v>3.3122232598371396E-2</v>
      </c>
      <c r="D7" s="38">
        <f>+'Data for 2nd TU'!$B$59</f>
        <v>8.8359370314842575E-2</v>
      </c>
      <c r="E7" s="286">
        <f>+C7+D7</f>
        <v>0.12148160291321397</v>
      </c>
      <c r="F7" s="287">
        <f>+B7-E7</f>
        <v>-1.8481602913213976E-2</v>
      </c>
      <c r="G7" s="372">
        <f>'Data for 2nd TU'!C18</f>
        <v>5002499.9999999944</v>
      </c>
      <c r="H7" s="4">
        <f>+G7*B7</f>
        <v>515257.49999999942</v>
      </c>
      <c r="I7" s="107">
        <f>+G7*C7</f>
        <v>165693.96857335273</v>
      </c>
      <c r="J7" s="4">
        <f>+G7*D7</f>
        <v>442017.74999999948</v>
      </c>
      <c r="K7" s="107">
        <f>+H7-I7-J7</f>
        <v>-92454.218573352788</v>
      </c>
      <c r="N7" s="27"/>
      <c r="O7" s="31"/>
      <c r="P7" s="31"/>
      <c r="Q7" s="31"/>
      <c r="R7" s="32"/>
      <c r="S7" s="28"/>
      <c r="T7" s="24"/>
      <c r="W7" s="31"/>
      <c r="X7" s="31"/>
      <c r="Y7" s="31"/>
      <c r="Z7" s="31"/>
      <c r="AA7" s="32"/>
      <c r="AB7" s="28"/>
      <c r="AC7" s="24"/>
      <c r="AD7" s="5"/>
    </row>
    <row r="8" spans="1:30" x14ac:dyDescent="0.25">
      <c r="A8" s="39" t="s">
        <v>3</v>
      </c>
      <c r="B8" s="301">
        <f>+'Data for 2nd TU'!D41</f>
        <v>0.125</v>
      </c>
      <c r="C8" s="286">
        <f>+'Data for 2nd TU'!$B$54</f>
        <v>3.3122232598371396E-2</v>
      </c>
      <c r="D8" s="31">
        <f>+'Data for 2nd TU'!$B$59</f>
        <v>8.8359370314842575E-2</v>
      </c>
      <c r="E8" s="286">
        <f t="shared" ref="E8:E15" si="0">+C8+D8</f>
        <v>0.12148160291321397</v>
      </c>
      <c r="F8" s="287">
        <f t="shared" ref="F8:F11" si="1">+B8-E8</f>
        <v>3.5183970867860292E-3</v>
      </c>
      <c r="G8" s="372">
        <f>'Data for 2nd TU'!C19</f>
        <v>7003500</v>
      </c>
      <c r="H8" s="4">
        <f t="shared" ref="H8:H11" si="2">+G8*B8</f>
        <v>875437.5</v>
      </c>
      <c r="I8" s="107">
        <f t="shared" ref="I8:I11" si="3">+G8*C8</f>
        <v>231971.55600269407</v>
      </c>
      <c r="J8" s="4">
        <f t="shared" ref="J8:J11" si="4">+G8*D8</f>
        <v>618824.85</v>
      </c>
      <c r="K8" s="107">
        <f t="shared" ref="K8:K11" si="5">+H8-I8-J8</f>
        <v>24641.093997305958</v>
      </c>
      <c r="N8" s="27"/>
      <c r="O8" s="31"/>
      <c r="P8" s="31"/>
      <c r="Q8" s="31"/>
      <c r="R8" s="32"/>
      <c r="S8" s="28"/>
      <c r="T8" s="24"/>
      <c r="W8" s="31"/>
      <c r="X8" s="31"/>
      <c r="Y8" s="31"/>
      <c r="Z8" s="31"/>
      <c r="AA8" s="32"/>
      <c r="AB8" s="28"/>
      <c r="AC8" s="24"/>
      <c r="AD8" s="5"/>
    </row>
    <row r="9" spans="1:30" x14ac:dyDescent="0.25">
      <c r="A9" s="39" t="s">
        <v>286</v>
      </c>
      <c r="B9" s="301">
        <f>+'Data for 2nd TU'!D42</f>
        <v>8.6999999999999994E-2</v>
      </c>
      <c r="C9" s="286">
        <f>+'Data for 2nd TU'!$B$54</f>
        <v>3.3122232598371396E-2</v>
      </c>
      <c r="D9" s="31">
        <f>+'Data for 2nd TU'!$B$59</f>
        <v>8.8359370314842575E-2</v>
      </c>
      <c r="E9" s="286">
        <f t="shared" si="0"/>
        <v>0.12148160291321397</v>
      </c>
      <c r="F9" s="287">
        <f t="shared" si="1"/>
        <v>-3.4481602913213977E-2</v>
      </c>
      <c r="G9" s="372">
        <f>'Data for 2nd TU'!C20</f>
        <v>95047500</v>
      </c>
      <c r="H9" s="111">
        <f t="shared" si="2"/>
        <v>8269132.4999999991</v>
      </c>
      <c r="I9" s="107">
        <f t="shared" si="3"/>
        <v>3148185.4028937053</v>
      </c>
      <c r="J9" s="111">
        <f t="shared" si="4"/>
        <v>8398337.25</v>
      </c>
      <c r="K9" s="107">
        <f t="shared" si="5"/>
        <v>-3277390.1528937062</v>
      </c>
      <c r="N9" s="27"/>
      <c r="O9" s="31"/>
      <c r="P9" s="31"/>
      <c r="Q9" s="31"/>
      <c r="R9" s="32"/>
      <c r="S9" s="28"/>
      <c r="T9" s="24"/>
      <c r="W9" s="31"/>
      <c r="X9" s="31"/>
      <c r="Y9" s="31"/>
      <c r="Z9" s="31"/>
      <c r="AA9" s="32"/>
      <c r="AB9" s="28"/>
      <c r="AC9" s="24"/>
      <c r="AD9" s="5"/>
    </row>
    <row r="10" spans="1:30" x14ac:dyDescent="0.25">
      <c r="A10" s="39" t="s">
        <v>287</v>
      </c>
      <c r="B10" s="301">
        <f>+'Data for 2nd TU'!D43</f>
        <v>0.122</v>
      </c>
      <c r="C10" s="286">
        <f>+'Data for 2nd TU'!$B$54</f>
        <v>3.3122232598371396E-2</v>
      </c>
      <c r="D10" s="31">
        <f>+'Data for 2nd TU'!$B$59</f>
        <v>8.8359370314842575E-2</v>
      </c>
      <c r="E10" s="286">
        <f t="shared" si="0"/>
        <v>0.12148160291321397</v>
      </c>
      <c r="F10" s="287">
        <f t="shared" si="1"/>
        <v>5.1839708678602658E-4</v>
      </c>
      <c r="G10" s="372">
        <f>'Data for 2nd TU'!C21</f>
        <v>47023500</v>
      </c>
      <c r="H10" s="111">
        <f t="shared" si="2"/>
        <v>5736867</v>
      </c>
      <c r="I10" s="107">
        <f t="shared" si="3"/>
        <v>1557523.3045895174</v>
      </c>
      <c r="J10" s="111">
        <f t="shared" si="4"/>
        <v>4154966.8499999996</v>
      </c>
      <c r="K10" s="107">
        <f t="shared" si="5"/>
        <v>24376.845410482958</v>
      </c>
      <c r="N10" s="27"/>
      <c r="O10" s="31"/>
      <c r="P10" s="31"/>
      <c r="Q10" s="31"/>
      <c r="R10" s="32"/>
      <c r="S10" s="28"/>
      <c r="T10" s="24"/>
      <c r="W10" s="31"/>
      <c r="X10" s="31"/>
      <c r="Y10" s="31"/>
      <c r="Z10" s="31"/>
      <c r="AA10" s="32"/>
      <c r="AB10" s="28"/>
      <c r="AC10" s="24"/>
      <c r="AD10" s="5"/>
    </row>
    <row r="11" spans="1:30" x14ac:dyDescent="0.25">
      <c r="A11" s="39" t="s">
        <v>288</v>
      </c>
      <c r="B11" s="301">
        <f>+'Data for 2nd TU'!D44</f>
        <v>0.182</v>
      </c>
      <c r="C11" s="286">
        <f>+'Data for 2nd TU'!$B$54</f>
        <v>3.3122232598371396E-2</v>
      </c>
      <c r="D11" s="31">
        <f>+'Data for 2nd TU'!$B$59</f>
        <v>8.8359370314842575E-2</v>
      </c>
      <c r="E11" s="286">
        <f t="shared" si="0"/>
        <v>0.12148160291321397</v>
      </c>
      <c r="F11" s="287">
        <f t="shared" si="1"/>
        <v>6.0518397086786024E-2</v>
      </c>
      <c r="G11" s="372">
        <f>'Data for 2nd TU'!C22</f>
        <v>59029500.000000007</v>
      </c>
      <c r="H11" s="111">
        <f t="shared" si="2"/>
        <v>10743369.000000002</v>
      </c>
      <c r="I11" s="107">
        <f t="shared" si="3"/>
        <v>1955188.8291655646</v>
      </c>
      <c r="J11" s="111">
        <f t="shared" si="4"/>
        <v>5215809.45</v>
      </c>
      <c r="K11" s="107">
        <f t="shared" si="5"/>
        <v>3572370.7208344368</v>
      </c>
      <c r="N11" s="27"/>
      <c r="O11" s="31"/>
      <c r="P11" s="31"/>
      <c r="Q11" s="31"/>
      <c r="R11" s="32"/>
      <c r="S11" s="28"/>
      <c r="T11" s="24"/>
      <c r="W11" s="31"/>
      <c r="X11" s="31"/>
      <c r="Y11" s="31"/>
      <c r="Z11" s="31"/>
      <c r="AA11" s="32"/>
      <c r="AB11" s="28"/>
      <c r="AC11" s="24"/>
      <c r="AD11" s="5"/>
    </row>
    <row r="12" spans="1:30" x14ac:dyDescent="0.25">
      <c r="A12" s="39" t="s">
        <v>289</v>
      </c>
      <c r="B12" s="301">
        <f>+'Data for 2nd TU'!D45</f>
        <v>8.6999999999999994E-2</v>
      </c>
      <c r="C12" s="286">
        <f>+'Data for 2nd TU'!$B$54</f>
        <v>3.3122232598371396E-2</v>
      </c>
      <c r="D12" s="301">
        <f>+'Data for 2nd TU'!$B$59</f>
        <v>8.8359370314842575E-2</v>
      </c>
      <c r="E12" s="286">
        <f>+C12+D12</f>
        <v>0.12148160291321397</v>
      </c>
      <c r="F12" s="287">
        <f>+B12-E12</f>
        <v>-3.4481602913213977E-2</v>
      </c>
      <c r="G12" s="372">
        <f>'Data for 2nd TU'!C23</f>
        <v>5002500</v>
      </c>
      <c r="H12" s="111">
        <f>+G12*B12</f>
        <v>435217.49999999994</v>
      </c>
      <c r="I12" s="107">
        <f>+G12*C12</f>
        <v>165693.9685733529</v>
      </c>
      <c r="J12" s="111">
        <f>+G12*D12</f>
        <v>442017.75</v>
      </c>
      <c r="K12" s="107">
        <f>+H12-I12-J12</f>
        <v>-172494.21857335296</v>
      </c>
      <c r="N12" s="27"/>
      <c r="O12" s="31"/>
      <c r="P12" s="31"/>
      <c r="Q12" s="31"/>
      <c r="R12" s="32"/>
      <c r="S12" s="28"/>
      <c r="T12" s="24"/>
      <c r="W12" s="31"/>
      <c r="X12" s="31"/>
      <c r="Y12" s="31"/>
      <c r="Z12" s="31"/>
      <c r="AA12" s="32"/>
      <c r="AB12" s="28"/>
      <c r="AC12" s="24"/>
      <c r="AD12" s="5"/>
    </row>
    <row r="13" spans="1:30" x14ac:dyDescent="0.25">
      <c r="A13" s="39" t="s">
        <v>290</v>
      </c>
      <c r="B13" s="301">
        <f>+'Data for 2nd TU'!D46</f>
        <v>0.122</v>
      </c>
      <c r="C13" s="286">
        <f>+'Data for 2nd TU'!$B$54</f>
        <v>3.3122232598371396E-2</v>
      </c>
      <c r="D13" s="301">
        <f>+'Data for 2nd TU'!$B$59</f>
        <v>8.8359370314842575E-2</v>
      </c>
      <c r="E13" s="286">
        <f t="shared" si="0"/>
        <v>0.12148160291321397</v>
      </c>
      <c r="F13" s="287">
        <f t="shared" ref="F13:F15" si="6">+B13-E13</f>
        <v>5.1839708678602658E-4</v>
      </c>
      <c r="G13" s="372">
        <f>'Data for 2nd TU'!C24</f>
        <v>2001000</v>
      </c>
      <c r="H13" s="111">
        <f t="shared" ref="H13:H15" si="7">+G13*B13</f>
        <v>244122</v>
      </c>
      <c r="I13" s="107">
        <f t="shared" ref="I13:I15" si="8">+G13*C13</f>
        <v>66277.587429341162</v>
      </c>
      <c r="J13" s="111">
        <f t="shared" ref="J13:J15" si="9">+G13*D13</f>
        <v>176807.1</v>
      </c>
      <c r="K13" s="107">
        <f t="shared" ref="K13:K15" si="10">+H13-I13-J13</f>
        <v>1037.3125706588326</v>
      </c>
      <c r="N13" s="27"/>
      <c r="O13" s="31"/>
      <c r="P13" s="31"/>
      <c r="Q13" s="31"/>
      <c r="R13" s="32"/>
      <c r="S13" s="28"/>
      <c r="T13" s="24"/>
      <c r="W13" s="31"/>
      <c r="X13" s="31"/>
      <c r="Y13" s="31"/>
      <c r="Z13" s="31"/>
      <c r="AA13" s="32"/>
      <c r="AB13" s="28"/>
      <c r="AC13" s="24"/>
      <c r="AD13" s="5"/>
    </row>
    <row r="14" spans="1:30" x14ac:dyDescent="0.25">
      <c r="A14" s="39" t="s">
        <v>291</v>
      </c>
      <c r="B14" s="301">
        <f>+'Data for 2nd TU'!D47</f>
        <v>0.28599999999999998</v>
      </c>
      <c r="C14" s="286">
        <f>+'Data for 2nd TU'!$B$54</f>
        <v>3.3122232598371396E-2</v>
      </c>
      <c r="D14" s="301">
        <f>+'Data for 2nd TU'!$B$59</f>
        <v>8.8359370314842575E-2</v>
      </c>
      <c r="E14" s="286">
        <f>+C14+D14</f>
        <v>0.12148160291321397</v>
      </c>
      <c r="F14" s="287">
        <f>+B14-E14</f>
        <v>0.16451839708678601</v>
      </c>
      <c r="G14" s="372">
        <f>'Data for 2nd TU'!C25</f>
        <v>1000500</v>
      </c>
      <c r="H14" s="111">
        <f>+G14*B14</f>
        <v>286143</v>
      </c>
      <c r="I14" s="107">
        <f>+G14*C14</f>
        <v>33138.793714670581</v>
      </c>
      <c r="J14" s="111">
        <f>+G14*D14</f>
        <v>88403.55</v>
      </c>
      <c r="K14" s="107">
        <f>+H14-I14-J14</f>
        <v>164600.65628532943</v>
      </c>
      <c r="N14" s="27"/>
      <c r="O14" s="31"/>
      <c r="P14" s="31"/>
      <c r="Q14" s="31"/>
      <c r="R14" s="32"/>
      <c r="S14" s="28"/>
      <c r="T14" s="24"/>
      <c r="W14" s="31"/>
      <c r="X14" s="31"/>
      <c r="Y14" s="31"/>
      <c r="Z14" s="31"/>
      <c r="AA14" s="32"/>
      <c r="AB14" s="28"/>
      <c r="AC14" s="24"/>
      <c r="AD14" s="5"/>
    </row>
    <row r="15" spans="1:30" x14ac:dyDescent="0.25">
      <c r="A15" s="39" t="s">
        <v>292</v>
      </c>
      <c r="B15" s="370">
        <f>+'Data for 2nd TU'!D48</f>
        <v>2.8000000000000001E-2</v>
      </c>
      <c r="C15" s="289">
        <f>+'Data for 2nd TU'!$B$54</f>
        <v>3.3122232598371396E-2</v>
      </c>
      <c r="D15" s="370">
        <f>+'Data for 2nd TU'!$B$59</f>
        <v>8.8359370314842575E-2</v>
      </c>
      <c r="E15" s="289">
        <f t="shared" si="0"/>
        <v>0.12148160291321397</v>
      </c>
      <c r="F15" s="290">
        <f t="shared" si="6"/>
        <v>-9.3481602913213974E-2</v>
      </c>
      <c r="G15" s="372">
        <f>'Data for 2nd TU'!C26</f>
        <v>4002000</v>
      </c>
      <c r="H15" s="111">
        <f t="shared" si="7"/>
        <v>112056</v>
      </c>
      <c r="I15" s="107">
        <f t="shared" si="8"/>
        <v>132555.17485868232</v>
      </c>
      <c r="J15" s="111">
        <f t="shared" si="9"/>
        <v>353614.2</v>
      </c>
      <c r="K15" s="107">
        <f t="shared" si="10"/>
        <v>-374113.37485868233</v>
      </c>
      <c r="N15" s="27"/>
      <c r="O15" s="31"/>
      <c r="P15" s="31"/>
      <c r="Q15" s="31"/>
      <c r="R15" s="32"/>
      <c r="S15" s="28"/>
      <c r="T15" s="24"/>
      <c r="W15" s="31"/>
      <c r="X15" s="31"/>
      <c r="Y15" s="31"/>
      <c r="Z15" s="31"/>
      <c r="AA15" s="32"/>
      <c r="AB15" s="28"/>
      <c r="AC15" s="24"/>
      <c r="AD15" s="5"/>
    </row>
    <row r="16" spans="1:30" ht="15.75" thickBot="1" x14ac:dyDescent="0.3">
      <c r="B16" s="371">
        <f>+H16/G16</f>
        <v>0.12090666666666666</v>
      </c>
      <c r="G16" s="322">
        <f>SUM(G7:G15)</f>
        <v>225112500</v>
      </c>
      <c r="H16" s="322">
        <f>SUM(H7:H15)</f>
        <v>27217602</v>
      </c>
      <c r="I16" s="292">
        <f>SUM(I7:I15)</f>
        <v>7456228.5858008824</v>
      </c>
      <c r="J16" s="322">
        <f>SUM(J7:J15)</f>
        <v>19890798.75</v>
      </c>
      <c r="K16" s="292">
        <f>SUM(K7:K15)</f>
        <v>-129425.33580088054</v>
      </c>
      <c r="Q16" s="24"/>
      <c r="R16" s="24"/>
      <c r="S16" s="6"/>
      <c r="T16" s="24"/>
      <c r="Z16" s="24"/>
      <c r="AA16" s="24"/>
      <c r="AB16" s="6"/>
      <c r="AC16" s="24"/>
      <c r="AD16" s="5"/>
    </row>
    <row r="17" spans="1:27" x14ac:dyDescent="0.25">
      <c r="G17" s="288"/>
    </row>
    <row r="18" spans="1:27" ht="18.75" x14ac:dyDescent="0.3">
      <c r="A18" s="21" t="s">
        <v>413</v>
      </c>
      <c r="M18" s="10"/>
      <c r="V18" s="10"/>
      <c r="AA18" s="25"/>
    </row>
    <row r="19" spans="1:27" x14ac:dyDescent="0.25">
      <c r="A19" s="10"/>
      <c r="M19" s="10"/>
      <c r="N19" s="13"/>
      <c r="O19" s="13"/>
      <c r="P19" s="13"/>
      <c r="Q19" s="13"/>
      <c r="R19" s="13"/>
      <c r="S19" s="13"/>
      <c r="T19" s="13"/>
      <c r="V19" s="10"/>
      <c r="W19" s="13"/>
      <c r="X19" s="13"/>
      <c r="Y19" s="13"/>
      <c r="AA19" s="25"/>
    </row>
    <row r="20" spans="1:27" x14ac:dyDescent="0.25">
      <c r="A20" s="10" t="s">
        <v>221</v>
      </c>
      <c r="N20" s="9"/>
      <c r="O20" s="6"/>
      <c r="P20" s="24"/>
      <c r="Q20" s="24"/>
      <c r="R20" s="24"/>
      <c r="S20" s="4"/>
      <c r="T20" s="4"/>
      <c r="W20" s="9"/>
      <c r="X20" s="6"/>
      <c r="Y20" s="24"/>
      <c r="AA20" s="25"/>
    </row>
    <row r="21" spans="1:27" ht="30" x14ac:dyDescent="0.25">
      <c r="A21" s="33" t="s">
        <v>35</v>
      </c>
      <c r="B21" s="34" t="s">
        <v>283</v>
      </c>
      <c r="C21" s="35" t="s">
        <v>81</v>
      </c>
      <c r="D21" s="34" t="s">
        <v>29</v>
      </c>
      <c r="E21" s="35" t="s">
        <v>27</v>
      </c>
      <c r="F21" s="34" t="s">
        <v>7</v>
      </c>
      <c r="G21" s="34" t="s">
        <v>14</v>
      </c>
      <c r="H21" s="35" t="s">
        <v>170</v>
      </c>
      <c r="I21" s="35" t="s">
        <v>74</v>
      </c>
      <c r="J21" s="35" t="s">
        <v>75</v>
      </c>
      <c r="K21" s="35" t="s">
        <v>295</v>
      </c>
      <c r="N21" s="9"/>
      <c r="O21" s="6"/>
      <c r="P21" s="24"/>
      <c r="Q21" s="24"/>
      <c r="R21" s="24"/>
      <c r="S21" s="4"/>
      <c r="T21" s="4"/>
      <c r="W21" s="9"/>
      <c r="X21" s="6"/>
      <c r="Y21" s="24"/>
      <c r="AA21" s="25"/>
    </row>
    <row r="22" spans="1:27" x14ac:dyDescent="0.25">
      <c r="A22" s="36" t="s">
        <v>2</v>
      </c>
      <c r="B22" s="38">
        <f>+'Data for 2nd TU'!I40</f>
        <v>0.10299999999999999</v>
      </c>
      <c r="C22" s="286">
        <f>+'Data for 2nd TU'!$G$54</f>
        <v>3.5140133225143269E-2</v>
      </c>
      <c r="D22" s="38">
        <f>+'Data for 2nd TU'!$G$59</f>
        <v>8.8359370314842575E-2</v>
      </c>
      <c r="E22" s="286">
        <f>+C22+D22</f>
        <v>0.12349950353998584</v>
      </c>
      <c r="F22" s="287">
        <f>+B22-E22</f>
        <v>-2.049950353998585E-2</v>
      </c>
      <c r="G22" s="372">
        <f>'Data for 2nd TU'!H18</f>
        <v>4218643.7007874073</v>
      </c>
      <c r="H22" s="111">
        <f>+G22*B22</f>
        <v>434520.30118110293</v>
      </c>
      <c r="I22" s="107">
        <f>+G22*C22</f>
        <v>148243.70167508093</v>
      </c>
      <c r="J22" s="111">
        <f>+G22*D22</f>
        <v>372756.70098425244</v>
      </c>
      <c r="K22" s="107">
        <f>+H22-I22-J22</f>
        <v>-86480.101478230441</v>
      </c>
      <c r="P22" s="24"/>
      <c r="Q22" s="24"/>
      <c r="R22" s="24"/>
      <c r="S22" s="24"/>
      <c r="T22" s="24"/>
      <c r="Y22" s="24"/>
      <c r="AA22" s="25"/>
    </row>
    <row r="23" spans="1:27" x14ac:dyDescent="0.25">
      <c r="A23" s="39" t="s">
        <v>3</v>
      </c>
      <c r="B23" s="31">
        <f>+'Data for 2nd TU'!I41</f>
        <v>0.125</v>
      </c>
      <c r="C23" s="286">
        <f>+'Data for 2nd TU'!$G$54</f>
        <v>3.5140133225143269E-2</v>
      </c>
      <c r="D23" s="31">
        <f>+'Data for 2nd TU'!$G$59</f>
        <v>8.8359370314842575E-2</v>
      </c>
      <c r="E23" s="286">
        <f t="shared" ref="E23:E26" si="11">+C23+D23</f>
        <v>0.12349950353998584</v>
      </c>
      <c r="F23" s="287">
        <f t="shared" ref="F23:F26" si="12">+B23-E23</f>
        <v>1.5004964600141557E-3</v>
      </c>
      <c r="G23" s="372">
        <f>'Data for 2nd TU'!H19</f>
        <v>7781053.9370078696</v>
      </c>
      <c r="H23" s="111">
        <f t="shared" ref="H23:H26" si="13">+G23*B23</f>
        <v>972631.7421259837</v>
      </c>
      <c r="I23" s="107">
        <f t="shared" ref="I23:I26" si="14">+G23*C23</f>
        <v>273427.27197848208</v>
      </c>
      <c r="J23" s="111">
        <f t="shared" ref="J23:J26" si="15">+G23*D23</f>
        <v>687529.0262598421</v>
      </c>
      <c r="K23" s="107">
        <f t="shared" ref="K23:K26" si="16">+H23-I23-J23</f>
        <v>11675.443887659581</v>
      </c>
      <c r="AA23" s="25"/>
    </row>
    <row r="24" spans="1:27" x14ac:dyDescent="0.25">
      <c r="A24" s="39" t="s">
        <v>286</v>
      </c>
      <c r="B24" s="31">
        <f>+'Data for 2nd TU'!I42</f>
        <v>8.6999999999999994E-2</v>
      </c>
      <c r="C24" s="286">
        <f>+'Data for 2nd TU'!$G$54</f>
        <v>3.5140133225143269E-2</v>
      </c>
      <c r="D24" s="31">
        <f>+'Data for 2nd TU'!$G$59</f>
        <v>8.8359370314842575E-2</v>
      </c>
      <c r="E24" s="286">
        <f t="shared" si="11"/>
        <v>0.12349950353998584</v>
      </c>
      <c r="F24" s="287">
        <f t="shared" si="12"/>
        <v>-3.649950353998585E-2</v>
      </c>
      <c r="G24" s="372">
        <f>'Data for 2nd TU'!H20</f>
        <v>83419593.796610802</v>
      </c>
      <c r="H24" s="111">
        <f t="shared" si="13"/>
        <v>7257504.6603051396</v>
      </c>
      <c r="I24" s="107">
        <f t="shared" si="14"/>
        <v>2931375.6396002388</v>
      </c>
      <c r="J24" s="111">
        <f t="shared" si="15"/>
        <v>7370902.7797884783</v>
      </c>
      <c r="K24" s="107">
        <f t="shared" si="16"/>
        <v>-3044773.7590835774</v>
      </c>
      <c r="M24" s="10"/>
      <c r="V24" s="10"/>
    </row>
    <row r="25" spans="1:27" x14ac:dyDescent="0.25">
      <c r="A25" s="39" t="s">
        <v>287</v>
      </c>
      <c r="B25" s="31">
        <f>+'Data for 2nd TU'!I43</f>
        <v>0.122</v>
      </c>
      <c r="C25" s="286">
        <f>+'Data for 2nd TU'!$G$54</f>
        <v>3.5140133225143269E-2</v>
      </c>
      <c r="D25" s="31">
        <f>+'Data for 2nd TU'!$G$59</f>
        <v>8.8359370314842575E-2</v>
      </c>
      <c r="E25" s="286">
        <f t="shared" si="11"/>
        <v>0.12349950353998584</v>
      </c>
      <c r="F25" s="287">
        <f t="shared" si="12"/>
        <v>-1.499503539985847E-3</v>
      </c>
      <c r="G25" s="372">
        <f>'Data for 2nd TU'!H21</f>
        <v>50623724.409448884</v>
      </c>
      <c r="H25" s="111">
        <f t="shared" si="13"/>
        <v>6176094.3779527638</v>
      </c>
      <c r="I25" s="107">
        <f t="shared" si="14"/>
        <v>1778924.4201009711</v>
      </c>
      <c r="J25" s="111">
        <f t="shared" si="15"/>
        <v>4473080.4118110295</v>
      </c>
      <c r="K25" s="107">
        <f t="shared" si="16"/>
        <v>-75910.453959236853</v>
      </c>
      <c r="P25" s="5"/>
      <c r="Q25" s="5"/>
      <c r="R25" s="5"/>
      <c r="S25" s="5"/>
      <c r="T25" s="5"/>
      <c r="Y25" s="5"/>
    </row>
    <row r="26" spans="1:27" x14ac:dyDescent="0.25">
      <c r="A26" s="39" t="s">
        <v>288</v>
      </c>
      <c r="B26" s="31">
        <f>+'Data for 2nd TU'!I44</f>
        <v>0.182</v>
      </c>
      <c r="C26" s="286">
        <f>+'Data for 2nd TU'!$G$54</f>
        <v>3.5140133225143269E-2</v>
      </c>
      <c r="D26" s="31">
        <f>+'Data for 2nd TU'!$G$59</f>
        <v>8.8359370314842575E-2</v>
      </c>
      <c r="E26" s="286">
        <f t="shared" si="11"/>
        <v>0.12349950353998584</v>
      </c>
      <c r="F26" s="287">
        <f t="shared" si="12"/>
        <v>5.8500496460014151E-2</v>
      </c>
      <c r="G26" s="372">
        <f>'Data for 2nd TU'!H22</f>
        <v>57373554.330708742</v>
      </c>
      <c r="H26" s="111">
        <f t="shared" si="13"/>
        <v>10441986.888188992</v>
      </c>
      <c r="I26" s="107">
        <f t="shared" si="14"/>
        <v>2016114.3427811007</v>
      </c>
      <c r="J26" s="111">
        <f t="shared" si="15"/>
        <v>5069491.1333858334</v>
      </c>
      <c r="K26" s="107">
        <f t="shared" si="16"/>
        <v>3356381.4120220579</v>
      </c>
      <c r="P26" s="5"/>
      <c r="Q26" s="5"/>
      <c r="R26" s="5"/>
      <c r="S26" s="5"/>
      <c r="T26" s="5"/>
      <c r="Y26" s="5"/>
    </row>
    <row r="27" spans="1:27" x14ac:dyDescent="0.25">
      <c r="A27" s="39" t="s">
        <v>289</v>
      </c>
      <c r="B27" s="301">
        <f>+'Data for 2nd TU'!I45</f>
        <v>8.6999999999999994E-2</v>
      </c>
      <c r="C27" s="286">
        <f>+'Data for 2nd TU'!$G$54</f>
        <v>3.5140133225143269E-2</v>
      </c>
      <c r="D27" s="301">
        <f>+'Data for 2nd TU'!$G$59</f>
        <v>8.8359370314842575E-2</v>
      </c>
      <c r="E27" s="286">
        <f>+C27+D27</f>
        <v>0.12349950353998584</v>
      </c>
      <c r="F27" s="287">
        <f>+B27-E27</f>
        <v>-3.649950353998585E-2</v>
      </c>
      <c r="G27" s="372">
        <f>'Data for 2nd TU'!H23</f>
        <v>4102519.0623441404</v>
      </c>
      <c r="H27" s="111">
        <f>+G27*B27</f>
        <v>356919.15842394019</v>
      </c>
      <c r="I27" s="107">
        <f>+G27*C27</f>
        <v>144163.06640946295</v>
      </c>
      <c r="J27" s="111">
        <f>+G27*D27</f>
        <v>362496.00105336664</v>
      </c>
      <c r="K27" s="107">
        <f>+H27-I27-J27</f>
        <v>-149739.9090388894</v>
      </c>
      <c r="P27" s="5"/>
      <c r="Q27" s="5"/>
      <c r="R27" s="5"/>
      <c r="S27" s="5"/>
      <c r="T27" s="5"/>
      <c r="Y27" s="5"/>
    </row>
    <row r="28" spans="1:27" x14ac:dyDescent="0.25">
      <c r="A28" s="39" t="s">
        <v>290</v>
      </c>
      <c r="B28" s="301">
        <f>+'Data for 2nd TU'!I46</f>
        <v>0.122</v>
      </c>
      <c r="C28" s="286">
        <f>+'Data for 2nd TU'!$G$54</f>
        <v>3.5140133225143269E-2</v>
      </c>
      <c r="D28" s="301">
        <f>+'Data for 2nd TU'!$G$59</f>
        <v>8.8359370314842575E-2</v>
      </c>
      <c r="E28" s="286">
        <f t="shared" ref="E28:E30" si="17">+C28+D28</f>
        <v>0.12349950353998584</v>
      </c>
      <c r="F28" s="287">
        <f t="shared" ref="F28:F30" si="18">+B28-E28</f>
        <v>-1.499503539985847E-3</v>
      </c>
      <c r="G28" s="372">
        <f>'Data for 2nd TU'!H24</f>
        <v>2051259.5311720702</v>
      </c>
      <c r="H28" s="111">
        <f t="shared" ref="H28:H30" si="19">+G28*B28</f>
        <v>250253.66280299256</v>
      </c>
      <c r="I28" s="107">
        <f t="shared" ref="I28:I30" si="20">+G28*C28</f>
        <v>72081.533204731473</v>
      </c>
      <c r="J28" s="111">
        <f t="shared" ref="J28:J30" si="21">+G28*D28</f>
        <v>181248.00052668332</v>
      </c>
      <c r="K28" s="107">
        <f t="shared" ref="K28:K30" si="22">+H28-I28-J28</f>
        <v>-3075.8709284222277</v>
      </c>
      <c r="P28" s="5"/>
      <c r="Q28" s="5"/>
      <c r="R28" s="5"/>
      <c r="S28" s="5"/>
      <c r="T28" s="5"/>
      <c r="Y28" s="5"/>
    </row>
    <row r="29" spans="1:27" x14ac:dyDescent="0.25">
      <c r="A29" s="39" t="s">
        <v>291</v>
      </c>
      <c r="B29" s="301">
        <f>+'Data for 2nd TU'!I47</f>
        <v>0.28599999999999998</v>
      </c>
      <c r="C29" s="286">
        <f>+'Data for 2nd TU'!$G$54</f>
        <v>3.5140133225143269E-2</v>
      </c>
      <c r="D29" s="301">
        <f>+'Data for 2nd TU'!$G$59</f>
        <v>8.8359370314842575E-2</v>
      </c>
      <c r="E29" s="286">
        <f>+C29+D29</f>
        <v>0.12349950353998584</v>
      </c>
      <c r="F29" s="287">
        <f>+B29-E29</f>
        <v>0.16250049646001413</v>
      </c>
      <c r="G29" s="372">
        <f>'Data for 2nd TU'!H25</f>
        <v>1025629.7655860351</v>
      </c>
      <c r="H29" s="111">
        <f>+G29*B29</f>
        <v>293330.11295760603</v>
      </c>
      <c r="I29" s="107">
        <f>+G29*C29</f>
        <v>36040.766602365737</v>
      </c>
      <c r="J29" s="111">
        <f>+G29*D29</f>
        <v>90624.000263341659</v>
      </c>
      <c r="K29" s="107">
        <f>+H29-I29-J29</f>
        <v>166665.34609189862</v>
      </c>
      <c r="P29" s="5"/>
      <c r="Q29" s="5"/>
      <c r="R29" s="5"/>
      <c r="S29" s="5"/>
      <c r="T29" s="5"/>
      <c r="Y29" s="5"/>
    </row>
    <row r="30" spans="1:27" x14ac:dyDescent="0.25">
      <c r="A30" s="39" t="s">
        <v>292</v>
      </c>
      <c r="B30" s="370">
        <f>+'Data for 2nd TU'!I48</f>
        <v>2.8000000000000001E-2</v>
      </c>
      <c r="C30" s="289">
        <f>+'Data for 2nd TU'!$G$54</f>
        <v>3.5140133225143269E-2</v>
      </c>
      <c r="D30" s="370">
        <f>+'Data for 2nd TU'!$G$59</f>
        <v>8.8359370314842575E-2</v>
      </c>
      <c r="E30" s="289">
        <f t="shared" si="17"/>
        <v>0.12349950353998584</v>
      </c>
      <c r="F30" s="290">
        <f t="shared" si="18"/>
        <v>-9.5499503539985847E-2</v>
      </c>
      <c r="G30" s="372">
        <f>'Data for 2nd TU'!H26</f>
        <v>3076889.2967581046</v>
      </c>
      <c r="H30" s="111">
        <f t="shared" si="19"/>
        <v>86152.900309226927</v>
      </c>
      <c r="I30" s="107">
        <f t="shared" si="20"/>
        <v>108122.29980709718</v>
      </c>
      <c r="J30" s="111">
        <f t="shared" si="21"/>
        <v>271872.00079002493</v>
      </c>
      <c r="K30" s="107">
        <f t="shared" si="22"/>
        <v>-293841.40028789517</v>
      </c>
      <c r="P30" s="5"/>
      <c r="Q30" s="5"/>
      <c r="R30" s="5"/>
      <c r="S30" s="5"/>
      <c r="T30" s="5"/>
      <c r="Y30" s="5"/>
    </row>
    <row r="31" spans="1:27" ht="15.75" thickBot="1" x14ac:dyDescent="0.3">
      <c r="B31" s="371">
        <f>+H31/G31</f>
        <v>0.12294211273045566</v>
      </c>
      <c r="G31" s="298">
        <f>SUM(G22:G30)</f>
        <v>213672867.83042407</v>
      </c>
      <c r="H31" s="321">
        <f>SUM(H22:H30)</f>
        <v>26269393.804247748</v>
      </c>
      <c r="I31" s="292">
        <f>SUM(I22:I30)</f>
        <v>7508493.0421595294</v>
      </c>
      <c r="J31" s="321">
        <f>SUM(J22:J30)</f>
        <v>18880000.054862849</v>
      </c>
      <c r="K31" s="291">
        <f>SUM(K22:K30)</f>
        <v>-119099.2927746354</v>
      </c>
      <c r="P31" s="24"/>
      <c r="Q31" s="24"/>
      <c r="R31" s="24"/>
      <c r="S31" s="24"/>
      <c r="T31" s="24"/>
      <c r="Y31" s="24"/>
    </row>
    <row r="32" spans="1:27" x14ac:dyDescent="0.25">
      <c r="M32" s="6"/>
    </row>
    <row r="33" spans="1:14" ht="18.75" x14ac:dyDescent="0.3">
      <c r="A33" s="21" t="s">
        <v>135</v>
      </c>
      <c r="M33" s="50"/>
    </row>
    <row r="34" spans="1:14" ht="18.75" x14ac:dyDescent="0.3">
      <c r="A34" s="21"/>
      <c r="M34" s="50"/>
    </row>
    <row r="35" spans="1:14" x14ac:dyDescent="0.25">
      <c r="A35" s="10" t="s">
        <v>222</v>
      </c>
      <c r="M35" s="50"/>
    </row>
    <row r="36" spans="1:14" ht="45" x14ac:dyDescent="0.25">
      <c r="A36" s="52" t="s">
        <v>56</v>
      </c>
      <c r="B36" s="34" t="s">
        <v>283</v>
      </c>
      <c r="C36" s="35" t="s">
        <v>72</v>
      </c>
      <c r="D36" s="35" t="s">
        <v>54</v>
      </c>
      <c r="E36" s="35" t="s">
        <v>27</v>
      </c>
      <c r="F36" s="34" t="s">
        <v>7</v>
      </c>
      <c r="G36" s="34" t="s">
        <v>14</v>
      </c>
      <c r="H36" s="35" t="s">
        <v>78</v>
      </c>
      <c r="I36" s="35" t="s">
        <v>79</v>
      </c>
      <c r="J36" s="35" t="s">
        <v>80</v>
      </c>
      <c r="K36" s="35" t="s">
        <v>305</v>
      </c>
      <c r="M36" s="50"/>
      <c r="N36" s="26"/>
    </row>
    <row r="37" spans="1:14" x14ac:dyDescent="0.25">
      <c r="A37" s="36" t="s">
        <v>2</v>
      </c>
      <c r="B37" s="37">
        <f t="shared" ref="B37:G45" si="23">+B7-B22</f>
        <v>0</v>
      </c>
      <c r="C37" s="286">
        <f t="shared" si="23"/>
        <v>-2.0179006267718735E-3</v>
      </c>
      <c r="D37" s="38">
        <f t="shared" si="23"/>
        <v>0</v>
      </c>
      <c r="E37" s="287">
        <f t="shared" si="23"/>
        <v>-2.0179006267718735E-3</v>
      </c>
      <c r="F37" s="287">
        <f t="shared" si="23"/>
        <v>2.0179006267718735E-3</v>
      </c>
      <c r="G37" s="372">
        <f t="shared" si="23"/>
        <v>783856.29921258707</v>
      </c>
      <c r="H37" s="111">
        <f t="shared" ref="H37:J45" si="24">+H22-H7</f>
        <v>-80737.19881889649</v>
      </c>
      <c r="I37" s="107">
        <f t="shared" si="24"/>
        <v>-17450.266898271802</v>
      </c>
      <c r="J37" s="111">
        <f t="shared" si="24"/>
        <v>-69261.049015747034</v>
      </c>
      <c r="K37" s="107">
        <f>+H37-I37-J37</f>
        <v>5974.1170951223467</v>
      </c>
      <c r="M37" s="5"/>
      <c r="N37" s="29"/>
    </row>
    <row r="38" spans="1:14" x14ac:dyDescent="0.25">
      <c r="A38" s="39" t="s">
        <v>3</v>
      </c>
      <c r="B38" s="27">
        <f t="shared" si="23"/>
        <v>0</v>
      </c>
      <c r="C38" s="286">
        <f t="shared" si="23"/>
        <v>-2.0179006267718735E-3</v>
      </c>
      <c r="D38" s="31">
        <f t="shared" si="23"/>
        <v>0</v>
      </c>
      <c r="E38" s="287">
        <f t="shared" si="23"/>
        <v>-2.0179006267718735E-3</v>
      </c>
      <c r="F38" s="287">
        <f t="shared" si="23"/>
        <v>2.0179006267718735E-3</v>
      </c>
      <c r="G38" s="372">
        <f t="shared" si="23"/>
        <v>-777553.93700786959</v>
      </c>
      <c r="H38" s="111">
        <f t="shared" si="24"/>
        <v>97194.242125983699</v>
      </c>
      <c r="I38" s="107">
        <f t="shared" si="24"/>
        <v>41455.715975788014</v>
      </c>
      <c r="J38" s="111">
        <f t="shared" si="24"/>
        <v>68704.176259842119</v>
      </c>
      <c r="K38" s="107">
        <f t="shared" ref="K38:K41" si="25">+H38-I38-J38</f>
        <v>-12965.650109646434</v>
      </c>
      <c r="M38" s="5"/>
      <c r="N38" s="29"/>
    </row>
    <row r="39" spans="1:14" x14ac:dyDescent="0.25">
      <c r="A39" s="39" t="s">
        <v>286</v>
      </c>
      <c r="B39" s="27">
        <f t="shared" si="23"/>
        <v>0</v>
      </c>
      <c r="C39" s="286">
        <f t="shared" si="23"/>
        <v>-2.0179006267718735E-3</v>
      </c>
      <c r="D39" s="31">
        <f t="shared" si="23"/>
        <v>0</v>
      </c>
      <c r="E39" s="287">
        <f t="shared" si="23"/>
        <v>-2.0179006267718735E-3</v>
      </c>
      <c r="F39" s="287">
        <f t="shared" si="23"/>
        <v>2.0179006267718735E-3</v>
      </c>
      <c r="G39" s="372">
        <f t="shared" si="23"/>
        <v>11627906.203389198</v>
      </c>
      <c r="H39" s="111">
        <f t="shared" si="24"/>
        <v>-1011627.8396948595</v>
      </c>
      <c r="I39" s="107">
        <f t="shared" si="24"/>
        <v>-216809.76329346653</v>
      </c>
      <c r="J39" s="111">
        <f t="shared" si="24"/>
        <v>-1027434.4702115217</v>
      </c>
      <c r="K39" s="107">
        <f t="shared" si="25"/>
        <v>232616.39381012879</v>
      </c>
      <c r="M39" s="5"/>
      <c r="N39" s="29"/>
    </row>
    <row r="40" spans="1:14" x14ac:dyDescent="0.25">
      <c r="A40" s="39" t="s">
        <v>287</v>
      </c>
      <c r="B40" s="27">
        <f t="shared" si="23"/>
        <v>0</v>
      </c>
      <c r="C40" s="286">
        <f t="shared" si="23"/>
        <v>-2.0179006267718735E-3</v>
      </c>
      <c r="D40" s="31">
        <f t="shared" si="23"/>
        <v>0</v>
      </c>
      <c r="E40" s="287">
        <f t="shared" si="23"/>
        <v>-2.0179006267718735E-3</v>
      </c>
      <c r="F40" s="287">
        <f t="shared" si="23"/>
        <v>2.0179006267718735E-3</v>
      </c>
      <c r="G40" s="372">
        <f>+G10-G25</f>
        <v>-3600224.4094488844</v>
      </c>
      <c r="H40" s="111">
        <f t="shared" si="24"/>
        <v>439227.37795276381</v>
      </c>
      <c r="I40" s="107">
        <f t="shared" si="24"/>
        <v>221401.11551145371</v>
      </c>
      <c r="J40" s="111">
        <f t="shared" si="24"/>
        <v>318113.56181102991</v>
      </c>
      <c r="K40" s="107">
        <f t="shared" si="25"/>
        <v>-100287.29936971981</v>
      </c>
      <c r="M40" s="5"/>
      <c r="N40" s="29"/>
    </row>
    <row r="41" spans="1:14" x14ac:dyDescent="0.25">
      <c r="A41" s="39" t="s">
        <v>288</v>
      </c>
      <c r="B41" s="27">
        <f t="shared" si="23"/>
        <v>0</v>
      </c>
      <c r="C41" s="286">
        <f t="shared" si="23"/>
        <v>-2.0179006267718735E-3</v>
      </c>
      <c r="D41" s="31">
        <f t="shared" si="23"/>
        <v>0</v>
      </c>
      <c r="E41" s="287">
        <f t="shared" si="23"/>
        <v>-2.0179006267718735E-3</v>
      </c>
      <c r="F41" s="287">
        <f t="shared" si="23"/>
        <v>2.0179006267718735E-3</v>
      </c>
      <c r="G41" s="373">
        <f t="shared" si="23"/>
        <v>1655945.6692912653</v>
      </c>
      <c r="H41" s="111">
        <f t="shared" si="24"/>
        <v>-301382.11181101017</v>
      </c>
      <c r="I41" s="107">
        <f t="shared" si="24"/>
        <v>60925.513615536038</v>
      </c>
      <c r="J41" s="111">
        <f t="shared" si="24"/>
        <v>-146318.31661416683</v>
      </c>
      <c r="K41" s="107">
        <f t="shared" si="25"/>
        <v>-215989.30881237937</v>
      </c>
      <c r="M41" s="5"/>
      <c r="N41" s="29"/>
    </row>
    <row r="42" spans="1:14" x14ac:dyDescent="0.25">
      <c r="A42" s="39" t="s">
        <v>289</v>
      </c>
      <c r="B42" s="401">
        <f t="shared" si="23"/>
        <v>0</v>
      </c>
      <c r="C42" s="286">
        <f t="shared" si="23"/>
        <v>-2.0179006267718735E-3</v>
      </c>
      <c r="D42" s="286">
        <f t="shared" si="23"/>
        <v>0</v>
      </c>
      <c r="E42" s="286">
        <f t="shared" si="23"/>
        <v>-2.0179006267718735E-3</v>
      </c>
      <c r="F42" s="287">
        <f t="shared" si="23"/>
        <v>2.0179006267718735E-3</v>
      </c>
      <c r="G42" s="373">
        <f t="shared" si="23"/>
        <v>899980.93765585963</v>
      </c>
      <c r="H42" s="111">
        <f t="shared" si="24"/>
        <v>-78298.341576059756</v>
      </c>
      <c r="I42" s="107">
        <f t="shared" si="24"/>
        <v>-21530.902163889958</v>
      </c>
      <c r="J42" s="111">
        <f t="shared" si="24"/>
        <v>-79521.748946633365</v>
      </c>
      <c r="K42" s="107">
        <f>+H42-I42-J42</f>
        <v>22754.309534463566</v>
      </c>
      <c r="M42" s="5"/>
      <c r="N42" s="29"/>
    </row>
    <row r="43" spans="1:14" x14ac:dyDescent="0.25">
      <c r="A43" s="39" t="s">
        <v>290</v>
      </c>
      <c r="B43" s="401">
        <f t="shared" si="23"/>
        <v>0</v>
      </c>
      <c r="C43" s="286">
        <f t="shared" si="23"/>
        <v>-2.0179006267718735E-3</v>
      </c>
      <c r="D43" s="286">
        <f t="shared" si="23"/>
        <v>0</v>
      </c>
      <c r="E43" s="286">
        <f t="shared" si="23"/>
        <v>-2.0179006267718735E-3</v>
      </c>
      <c r="F43" s="287">
        <f t="shared" si="23"/>
        <v>2.0179006267718735E-3</v>
      </c>
      <c r="G43" s="373">
        <f t="shared" si="23"/>
        <v>-50259.531172070187</v>
      </c>
      <c r="H43" s="111">
        <f t="shared" si="24"/>
        <v>6131.6628029925632</v>
      </c>
      <c r="I43" s="107">
        <f t="shared" si="24"/>
        <v>5803.9457753903116</v>
      </c>
      <c r="J43" s="111">
        <f t="shared" si="24"/>
        <v>4440.9005266833119</v>
      </c>
      <c r="K43" s="107">
        <f t="shared" ref="K43:K45" si="26">+H43-I43-J43</f>
        <v>-4113.1834990810603</v>
      </c>
      <c r="M43" s="5"/>
      <c r="N43" s="29"/>
    </row>
    <row r="44" spans="1:14" x14ac:dyDescent="0.25">
      <c r="A44" s="39" t="s">
        <v>291</v>
      </c>
      <c r="B44" s="401">
        <f t="shared" si="23"/>
        <v>0</v>
      </c>
      <c r="C44" s="286">
        <f t="shared" si="23"/>
        <v>-2.0179006267718735E-3</v>
      </c>
      <c r="D44" s="286">
        <f t="shared" si="23"/>
        <v>0</v>
      </c>
      <c r="E44" s="286">
        <f t="shared" si="23"/>
        <v>-2.0179006267718735E-3</v>
      </c>
      <c r="F44" s="287">
        <f t="shared" si="23"/>
        <v>2.0179006267718735E-3</v>
      </c>
      <c r="G44" s="373">
        <f t="shared" si="23"/>
        <v>-25129.765586035093</v>
      </c>
      <c r="H44" s="111">
        <f t="shared" si="24"/>
        <v>7187.1129576060339</v>
      </c>
      <c r="I44" s="107">
        <f t="shared" si="24"/>
        <v>2901.9728876951558</v>
      </c>
      <c r="J44" s="111">
        <f t="shared" si="24"/>
        <v>2220.450263341656</v>
      </c>
      <c r="K44" s="107">
        <f>+H44-I44-J44</f>
        <v>2064.6898065692221</v>
      </c>
      <c r="M44" s="5"/>
      <c r="N44" s="29"/>
    </row>
    <row r="45" spans="1:14" x14ac:dyDescent="0.25">
      <c r="A45" s="39" t="s">
        <v>292</v>
      </c>
      <c r="B45" s="402">
        <f t="shared" si="23"/>
        <v>0</v>
      </c>
      <c r="C45" s="289">
        <f t="shared" si="23"/>
        <v>-2.0179006267718735E-3</v>
      </c>
      <c r="D45" s="289">
        <f t="shared" si="23"/>
        <v>0</v>
      </c>
      <c r="E45" s="289">
        <f t="shared" si="23"/>
        <v>-2.0179006267718735E-3</v>
      </c>
      <c r="F45" s="290">
        <f t="shared" si="23"/>
        <v>2.0179006267718735E-3</v>
      </c>
      <c r="G45" s="373">
        <f t="shared" si="23"/>
        <v>925110.70324189542</v>
      </c>
      <c r="H45" s="111">
        <f t="shared" si="24"/>
        <v>-25903.099690773073</v>
      </c>
      <c r="I45" s="107">
        <f t="shared" si="24"/>
        <v>-24432.875051585143</v>
      </c>
      <c r="J45" s="111">
        <f t="shared" si="24"/>
        <v>-81742.199209975079</v>
      </c>
      <c r="K45" s="107">
        <f t="shared" si="26"/>
        <v>80271.974570787148</v>
      </c>
      <c r="M45" s="5"/>
      <c r="N45" s="29"/>
    </row>
    <row r="46" spans="1:14" ht="15.75" thickBot="1" x14ac:dyDescent="0.3">
      <c r="G46" s="298">
        <f>SUM(G37:G45)</f>
        <v>11439632.169575946</v>
      </c>
      <c r="H46" s="322">
        <f>SUM(H37:H45)</f>
        <v>-948208.19575225282</v>
      </c>
      <c r="I46" s="292">
        <f t="shared" ref="I46:K46" si="27">SUM(I37:I45)</f>
        <v>52264.456358649797</v>
      </c>
      <c r="J46" s="322">
        <f t="shared" si="27"/>
        <v>-1010798.6951371471</v>
      </c>
      <c r="K46" s="292">
        <f t="shared" si="27"/>
        <v>10326.043026244399</v>
      </c>
    </row>
    <row r="47" spans="1:14" ht="15.75" thickTop="1" x14ac:dyDescent="0.25">
      <c r="G47" s="349"/>
      <c r="H47" s="293"/>
      <c r="I47" s="350"/>
      <c r="J47" s="350"/>
      <c r="K47" s="293"/>
    </row>
    <row r="55" spans="8:8" x14ac:dyDescent="0.25">
      <c r="H55" s="10"/>
    </row>
  </sheetData>
  <pageMargins left="0.7" right="0.7" top="0.75" bottom="0.75" header="0.3" footer="0.3"/>
  <pageSetup paperSize="5"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1"/>
  <sheetViews>
    <sheetView workbookViewId="0">
      <selection activeCell="C6" sqref="C6"/>
    </sheetView>
  </sheetViews>
  <sheetFormatPr defaultRowHeight="15" x14ac:dyDescent="0.25"/>
  <cols>
    <col min="1" max="1" width="23.28515625" customWidth="1"/>
    <col min="2" max="2" width="9.28515625" customWidth="1"/>
    <col min="3" max="4" width="14.7109375" customWidth="1"/>
    <col min="5" max="5" width="13.28515625" bestFit="1" customWidth="1"/>
    <col min="6" max="6" width="15" bestFit="1" customWidth="1"/>
    <col min="7" max="7" width="13" customWidth="1"/>
    <col min="8" max="11" width="14.7109375" customWidth="1"/>
    <col min="12" max="12" width="13.28515625" customWidth="1"/>
    <col min="13" max="13" width="13.42578125" customWidth="1"/>
    <col min="14" max="14" width="12.42578125" customWidth="1"/>
    <col min="15" max="15" width="13.28515625" customWidth="1"/>
    <col min="16" max="16" width="12.7109375" customWidth="1"/>
    <col min="17" max="17" width="9.28515625" customWidth="1"/>
  </cols>
  <sheetData>
    <row r="1" spans="1:12" ht="18.75" x14ac:dyDescent="0.3">
      <c r="A1" s="21" t="s">
        <v>124</v>
      </c>
    </row>
    <row r="2" spans="1:12" ht="18.75" x14ac:dyDescent="0.3">
      <c r="A2" s="21"/>
    </row>
    <row r="3" spans="1:12" x14ac:dyDescent="0.25">
      <c r="A3" s="22" t="s">
        <v>223</v>
      </c>
    </row>
    <row r="4" spans="1:12" ht="17.25" x14ac:dyDescent="0.25">
      <c r="C4" s="493" t="s">
        <v>167</v>
      </c>
      <c r="D4" s="493"/>
      <c r="E4" s="493"/>
      <c r="F4" s="493" t="s">
        <v>275</v>
      </c>
      <c r="G4" s="494"/>
      <c r="H4" s="494"/>
    </row>
    <row r="5" spans="1:12" ht="30" x14ac:dyDescent="0.25">
      <c r="B5" s="19" t="s">
        <v>36</v>
      </c>
      <c r="C5" s="40" t="s">
        <v>14</v>
      </c>
      <c r="D5" s="26" t="s">
        <v>48</v>
      </c>
      <c r="E5" s="19" t="s">
        <v>47</v>
      </c>
      <c r="F5" s="40" t="s">
        <v>14</v>
      </c>
      <c r="G5" s="26" t="s">
        <v>48</v>
      </c>
      <c r="H5" s="19" t="s">
        <v>47</v>
      </c>
      <c r="I5" s="26" t="s">
        <v>51</v>
      </c>
    </row>
    <row r="6" spans="1:12" x14ac:dyDescent="0.25">
      <c r="A6" t="s">
        <v>49</v>
      </c>
      <c r="B6" s="9">
        <f>+'Data for 2nd TU'!G59</f>
        <v>8.8359370314842575E-2</v>
      </c>
      <c r="C6" s="6">
        <f>+'Data for 2nd TU'!C12</f>
        <v>225112500</v>
      </c>
      <c r="D6" s="2">
        <f>E6/E8</f>
        <v>0.45</v>
      </c>
      <c r="E6" s="4">
        <f>B6*C6</f>
        <v>19890798.75</v>
      </c>
      <c r="F6" s="6">
        <f>+'Data for 2nd TU'!H12</f>
        <v>213672867.83042395</v>
      </c>
      <c r="G6" s="2">
        <f>F6/F8</f>
        <v>0.42713216957605987</v>
      </c>
      <c r="H6" s="4">
        <f>G6*H8</f>
        <v>18880000.054862846</v>
      </c>
      <c r="I6" s="4">
        <f>H6-E6</f>
        <v>-1010798.6951371543</v>
      </c>
      <c r="J6" s="438"/>
      <c r="K6" s="438"/>
      <c r="L6" s="438"/>
    </row>
    <row r="7" spans="1:12" x14ac:dyDescent="0.25">
      <c r="A7" t="s">
        <v>50</v>
      </c>
      <c r="B7" s="9">
        <f>+'Data for 2nd TU'!G59</f>
        <v>8.8359370314842575E-2</v>
      </c>
      <c r="C7" s="6">
        <f>+'Data for 2nd TU'!C13</f>
        <v>275137500</v>
      </c>
      <c r="D7" s="2">
        <f>E7/E8</f>
        <v>0.55000000000000004</v>
      </c>
      <c r="E7" s="4">
        <f>C7*B7</f>
        <v>24310976.25</v>
      </c>
      <c r="F7" s="6">
        <f>+'Data for 2nd TU'!H13</f>
        <v>286577132.16957605</v>
      </c>
      <c r="G7" s="2">
        <f>F7/F8</f>
        <v>0.57286783042394018</v>
      </c>
      <c r="H7" s="4">
        <f>G7*H8</f>
        <v>25321774.945137158</v>
      </c>
      <c r="I7" s="4">
        <f>H7-E7</f>
        <v>1010798.695137158</v>
      </c>
      <c r="J7" s="438"/>
      <c r="K7" s="438"/>
      <c r="L7" s="438"/>
    </row>
    <row r="8" spans="1:12" ht="15.75" thickBot="1" x14ac:dyDescent="0.3">
      <c r="B8" s="19"/>
      <c r="C8" s="14">
        <f>SUM(C6:C7)</f>
        <v>500250000</v>
      </c>
      <c r="D8" s="53">
        <f>SUM(D6:D7)</f>
        <v>1</v>
      </c>
      <c r="E8" s="20">
        <f t="shared" ref="E8:I8" si="0">SUM(E6:E7)</f>
        <v>44201775</v>
      </c>
      <c r="F8" s="14">
        <f t="shared" si="0"/>
        <v>500250000</v>
      </c>
      <c r="G8" s="53">
        <f t="shared" si="0"/>
        <v>1</v>
      </c>
      <c r="H8" s="20">
        <f>+E8</f>
        <v>44201775</v>
      </c>
      <c r="I8" s="20">
        <f t="shared" si="0"/>
        <v>3.7252902984619141E-9</v>
      </c>
    </row>
    <row r="9" spans="1:12" ht="15.75" thickTop="1" x14ac:dyDescent="0.25"/>
    <row r="10" spans="1:12" x14ac:dyDescent="0.25">
      <c r="A10" t="s">
        <v>426</v>
      </c>
      <c r="B10" s="9"/>
      <c r="C10" s="6"/>
      <c r="D10" s="6"/>
      <c r="E10" s="4"/>
      <c r="F10" s="6"/>
      <c r="G10" s="2"/>
      <c r="H10" s="4"/>
      <c r="I10" s="4"/>
    </row>
    <row r="11" spans="1:12" x14ac:dyDescent="0.25">
      <c r="B11" s="9"/>
      <c r="C11" s="6"/>
      <c r="D11" s="6"/>
      <c r="E11" s="4"/>
      <c r="F11" s="6"/>
      <c r="G11" s="2"/>
      <c r="H11" s="4"/>
      <c r="I11" s="4"/>
    </row>
    <row r="12" spans="1:12" x14ac:dyDescent="0.25">
      <c r="B12" s="9"/>
      <c r="C12" s="6"/>
      <c r="D12" s="6"/>
      <c r="E12" s="4"/>
      <c r="F12" s="6"/>
      <c r="G12" s="2"/>
      <c r="H12" s="4"/>
      <c r="I12" s="4"/>
    </row>
    <row r="13" spans="1:12" x14ac:dyDescent="0.25">
      <c r="B13" s="9"/>
      <c r="C13" s="6"/>
      <c r="D13" s="6"/>
      <c r="E13" s="4"/>
      <c r="F13" s="6"/>
      <c r="G13" s="2"/>
      <c r="H13" s="4"/>
      <c r="I13" s="4"/>
    </row>
    <row r="14" spans="1:12" x14ac:dyDescent="0.25">
      <c r="B14" s="9"/>
      <c r="C14" s="6"/>
      <c r="D14" s="6"/>
      <c r="E14" s="4"/>
      <c r="F14" s="6"/>
      <c r="G14" s="2"/>
      <c r="H14" s="4"/>
      <c r="I14" s="4"/>
    </row>
    <row r="15" spans="1:12" x14ac:dyDescent="0.25">
      <c r="B15" s="9"/>
      <c r="C15" s="6"/>
      <c r="D15" s="6"/>
      <c r="E15" s="4"/>
      <c r="F15" s="6"/>
      <c r="G15" s="2"/>
      <c r="H15" s="4"/>
      <c r="I15" s="4"/>
    </row>
    <row r="16" spans="1:12" x14ac:dyDescent="0.25">
      <c r="B16" s="9"/>
      <c r="C16" s="6"/>
      <c r="D16" s="6"/>
      <c r="E16" s="4"/>
      <c r="F16" s="6"/>
      <c r="G16" s="2"/>
      <c r="H16" s="4"/>
      <c r="I16" s="4"/>
    </row>
    <row r="17" spans="1:9" x14ac:dyDescent="0.25">
      <c r="B17" s="9"/>
      <c r="C17" s="6"/>
      <c r="D17" s="6"/>
      <c r="E17" s="4"/>
      <c r="F17" s="6"/>
      <c r="G17" s="2"/>
      <c r="H17" s="4"/>
      <c r="I17" s="4"/>
    </row>
    <row r="18" spans="1:9" x14ac:dyDescent="0.25">
      <c r="B18" s="9"/>
      <c r="C18" s="6"/>
      <c r="D18" s="6"/>
      <c r="E18" s="4"/>
      <c r="F18" s="6"/>
      <c r="G18" s="2"/>
      <c r="H18" s="4"/>
      <c r="I18" s="4"/>
    </row>
    <row r="23" spans="1:9" x14ac:dyDescent="0.25">
      <c r="A23" s="51"/>
    </row>
    <row r="24" spans="1:9" x14ac:dyDescent="0.25">
      <c r="A24" s="6"/>
      <c r="B24" s="6"/>
      <c r="C24" s="6"/>
      <c r="D24" s="6"/>
    </row>
    <row r="25" spans="1:9" x14ac:dyDescent="0.25">
      <c r="A25" s="16"/>
    </row>
    <row r="26" spans="1:9" x14ac:dyDescent="0.25">
      <c r="A26" s="2"/>
    </row>
    <row r="28" spans="1:9" ht="31.15" customHeight="1" x14ac:dyDescent="0.25">
      <c r="A28" s="13"/>
      <c r="B28" s="13"/>
      <c r="C28" s="13"/>
      <c r="D28" s="13"/>
    </row>
    <row r="29" spans="1:9" x14ac:dyDescent="0.25">
      <c r="A29" s="18"/>
      <c r="B29" s="18"/>
      <c r="C29" s="18"/>
      <c r="D29" s="18"/>
    </row>
    <row r="30" spans="1:9" x14ac:dyDescent="0.25">
      <c r="A30" s="18"/>
      <c r="B30" s="18"/>
      <c r="C30" s="18"/>
      <c r="D30" s="18"/>
    </row>
    <row r="31" spans="1:9" x14ac:dyDescent="0.25">
      <c r="A31" s="18"/>
      <c r="B31" s="18"/>
      <c r="C31" s="18"/>
      <c r="D31" s="18"/>
    </row>
    <row r="32" spans="1:9" x14ac:dyDescent="0.25">
      <c r="A32" s="18"/>
      <c r="B32" s="18"/>
      <c r="C32" s="18"/>
      <c r="D32" s="18"/>
    </row>
    <row r="33" spans="1:4" x14ac:dyDescent="0.25">
      <c r="A33" s="18"/>
      <c r="B33" s="18"/>
      <c r="C33" s="18"/>
      <c r="D33" s="18"/>
    </row>
    <row r="41" spans="1:4" ht="51.75" customHeight="1" x14ac:dyDescent="0.25"/>
  </sheetData>
  <mergeCells count="2">
    <mergeCell ref="C4:E4"/>
    <mergeCell ref="F4:H4"/>
  </mergeCells>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3"/>
  <sheetViews>
    <sheetView topLeftCell="A34" workbookViewId="0">
      <selection sqref="A1:H1"/>
    </sheetView>
  </sheetViews>
  <sheetFormatPr defaultRowHeight="15" x14ac:dyDescent="0.25"/>
  <cols>
    <col min="2" max="2" width="14.7109375" customWidth="1"/>
    <col min="3" max="3" width="19.7109375" customWidth="1"/>
    <col min="4" max="7" width="18.42578125" customWidth="1"/>
    <col min="8" max="8" width="15.7109375" bestFit="1" customWidth="1"/>
    <col min="9" max="9" width="15.28515625" bestFit="1" customWidth="1"/>
    <col min="10" max="10" width="15" bestFit="1" customWidth="1"/>
    <col min="12" max="14" width="15.42578125" customWidth="1"/>
  </cols>
  <sheetData>
    <row r="1" spans="1:8" x14ac:dyDescent="0.25">
      <c r="A1" s="493" t="s">
        <v>385</v>
      </c>
      <c r="B1" s="493"/>
      <c r="C1" s="493"/>
      <c r="D1" s="493"/>
      <c r="E1" s="493"/>
      <c r="F1" s="493"/>
      <c r="G1" s="493"/>
      <c r="H1" s="493"/>
    </row>
    <row r="3" spans="1:8" ht="90" x14ac:dyDescent="0.25">
      <c r="B3" s="78" t="s">
        <v>380</v>
      </c>
      <c r="C3" s="78" t="s">
        <v>381</v>
      </c>
      <c r="D3" s="78" t="s">
        <v>382</v>
      </c>
      <c r="E3" s="78" t="s">
        <v>383</v>
      </c>
      <c r="F3" s="78" t="s">
        <v>384</v>
      </c>
      <c r="G3" s="78" t="s">
        <v>382</v>
      </c>
      <c r="H3" s="78" t="s">
        <v>86</v>
      </c>
    </row>
    <row r="4" spans="1:8" ht="45" x14ac:dyDescent="0.25">
      <c r="A4" s="75" t="s">
        <v>140</v>
      </c>
      <c r="B4" s="139" t="s">
        <v>241</v>
      </c>
      <c r="C4" s="139" t="s">
        <v>87</v>
      </c>
      <c r="D4" s="139" t="s">
        <v>137</v>
      </c>
      <c r="E4" s="139" t="s">
        <v>138</v>
      </c>
      <c r="F4" s="139" t="s">
        <v>88</v>
      </c>
      <c r="G4" s="139" t="s">
        <v>85</v>
      </c>
      <c r="H4" s="140" t="s">
        <v>139</v>
      </c>
    </row>
    <row r="5" spans="1:8" x14ac:dyDescent="0.25">
      <c r="A5" s="141">
        <v>1588</v>
      </c>
      <c r="B5" s="95">
        <f>(-'Data for Settlement &amp; 1st TU'!D90-'Data for Settlement &amp; 1st TU'!D94)+('Data for Settlement &amp; 1st TU'!D75-'Data for Settlement &amp; 1st TU'!D71-'Data for Settlement &amp; 1st TU'!D69)</f>
        <v>3.7601888179779053E-3</v>
      </c>
      <c r="C5" s="95">
        <f>+'Data for Settlement &amp; 1st TU'!I68-'Data for Settlement &amp; 1st TU'!D68+'Data for Settlement &amp; 1st TU'!I70-'Data for Settlement &amp; 1st TU'!D70+'Data for Settlement &amp; 1st TU'!I74-'Data for Settlement &amp; 1st TU'!D74</f>
        <v>2454498.75</v>
      </c>
      <c r="D5" s="374">
        <f>+'RPP Settlement &amp; 1st TU'!K46</f>
        <v>-2297090.389127064</v>
      </c>
      <c r="E5" s="374">
        <f>+'RPP 2nd TU'!K46</f>
        <v>10326.043026244399</v>
      </c>
      <c r="F5" s="374">
        <f>+'Data for 2nd TU'!D90-'Data for 2nd TU'!I90+'Data for 2nd TU'!D94-'Data for 2nd TU'!I94</f>
        <v>811755.90671984106</v>
      </c>
      <c r="G5" s="374">
        <f>+'Data for 2nd TU'!I70-'Data for 2nd TU'!D70</f>
        <v>-1010798.695137158</v>
      </c>
      <c r="H5" s="375">
        <f>SUM(B5:G5)</f>
        <v>-31308.380757947802</v>
      </c>
    </row>
    <row r="6" spans="1:8" x14ac:dyDescent="0.25">
      <c r="A6" s="142">
        <v>1589</v>
      </c>
      <c r="B6" s="79">
        <f>+'Data for Settlement &amp; 1st TU'!D71-'Data for Settlement &amp; 1st TU'!D96</f>
        <v>-7480000</v>
      </c>
      <c r="C6" s="79">
        <f>(+'Data for Settlement &amp; 1st TU'!I69+'Data for Settlement &amp; 1st TU'!I71-'Data for Settlement &amp; 1st TU'!I95-'Data for Settlement &amp; 1st TU'!I96)-('Data for Settlement &amp; 1st TU'!D69+'Data for Settlement &amp; 1st TU'!D71-'Data for Settlement &amp; 1st TU'!D95-'Data for Settlement &amp; 1st TU'!D96)</f>
        <v>2668476.25</v>
      </c>
      <c r="D6" s="79">
        <v>0</v>
      </c>
      <c r="E6" s="79">
        <v>0</v>
      </c>
      <c r="F6" s="79">
        <f>+'Data for 2nd TU'!D96-'Data for 2nd TU'!I96</f>
        <v>-1286685</v>
      </c>
      <c r="G6" s="79">
        <f>+'Data for 2nd TU'!I71-'Data for 2nd TU'!D71</f>
        <v>1010798.6951371543</v>
      </c>
      <c r="H6" s="77">
        <f>SUM(B6:G6)</f>
        <v>-5087410.0548628457</v>
      </c>
    </row>
    <row r="8" spans="1:8" x14ac:dyDescent="0.25">
      <c r="A8" s="493" t="s">
        <v>340</v>
      </c>
      <c r="B8" s="493"/>
      <c r="C8" s="493"/>
      <c r="D8" s="493"/>
      <c r="E8" s="493"/>
      <c r="F8" s="493"/>
      <c r="G8" s="493"/>
      <c r="H8" s="493"/>
    </row>
    <row r="10" spans="1:8" s="26" customFormat="1" ht="30" x14ac:dyDescent="0.25">
      <c r="A10" s="35"/>
      <c r="B10" s="35" t="s">
        <v>175</v>
      </c>
      <c r="C10" s="35"/>
      <c r="D10" s="35"/>
      <c r="E10" s="35"/>
      <c r="F10" s="35"/>
    </row>
    <row r="11" spans="1:8" s="26" customFormat="1" ht="33" x14ac:dyDescent="0.35">
      <c r="A11" s="35" t="s">
        <v>331</v>
      </c>
      <c r="B11" s="35" t="s">
        <v>333</v>
      </c>
      <c r="C11" s="35" t="s">
        <v>334</v>
      </c>
      <c r="D11" s="35" t="s">
        <v>332</v>
      </c>
      <c r="E11" s="35" t="s">
        <v>58</v>
      </c>
      <c r="F11" s="35" t="s">
        <v>335</v>
      </c>
    </row>
    <row r="12" spans="1:8" x14ac:dyDescent="0.25">
      <c r="A12" s="442" t="s">
        <v>336</v>
      </c>
      <c r="B12" s="443">
        <f>H5</f>
        <v>-31308.380757947802</v>
      </c>
      <c r="C12" s="442"/>
      <c r="D12" s="443">
        <f>SUM(B12:C12)</f>
        <v>-31308.380757947802</v>
      </c>
      <c r="E12" s="444">
        <f>'Final RSVA Balances'!I18</f>
        <v>35234501.526744105</v>
      </c>
      <c r="F12" s="445">
        <f>D12/E12</f>
        <v>-8.8857169539304382E-4</v>
      </c>
    </row>
    <row r="13" spans="1:8" x14ac:dyDescent="0.25">
      <c r="A13" s="157" t="s">
        <v>337</v>
      </c>
      <c r="B13" s="157"/>
      <c r="C13" s="157"/>
      <c r="D13" s="157"/>
      <c r="E13" s="157"/>
      <c r="F13" s="451" t="str">
        <f>IF(F12&gt;1%,"Exceeds tolerance","OK")</f>
        <v>OK</v>
      </c>
    </row>
    <row r="15" spans="1:8" x14ac:dyDescent="0.25">
      <c r="A15" s="493" t="s">
        <v>341</v>
      </c>
      <c r="B15" s="493"/>
      <c r="C15" s="493"/>
      <c r="D15" s="493"/>
      <c r="E15" s="493"/>
      <c r="F15" s="493"/>
      <c r="G15" s="493"/>
      <c r="H15" s="493"/>
    </row>
    <row r="17" spans="1:10" s="26" customFormat="1" ht="90" x14ac:dyDescent="0.25">
      <c r="A17" s="35" t="s">
        <v>342</v>
      </c>
      <c r="B17" s="35" t="s">
        <v>343</v>
      </c>
      <c r="C17" s="35" t="s">
        <v>344</v>
      </c>
      <c r="D17" s="35" t="s">
        <v>359</v>
      </c>
      <c r="E17" s="35" t="s">
        <v>345</v>
      </c>
      <c r="F17" s="35" t="s">
        <v>346</v>
      </c>
      <c r="G17" s="35" t="s">
        <v>347</v>
      </c>
      <c r="H17" s="35" t="s">
        <v>348</v>
      </c>
      <c r="I17" s="35" t="s">
        <v>349</v>
      </c>
      <c r="J17" s="35" t="s">
        <v>350</v>
      </c>
    </row>
    <row r="18" spans="1:10" s="19" customFormat="1" x14ac:dyDescent="0.25">
      <c r="A18" s="34"/>
      <c r="B18" s="34" t="s">
        <v>351</v>
      </c>
      <c r="C18" s="34" t="s">
        <v>352</v>
      </c>
      <c r="D18" s="34" t="s">
        <v>353</v>
      </c>
      <c r="E18" s="34" t="s">
        <v>354</v>
      </c>
      <c r="F18" s="34" t="s">
        <v>355</v>
      </c>
      <c r="G18" s="34" t="s">
        <v>356</v>
      </c>
      <c r="H18" s="34" t="s">
        <v>357</v>
      </c>
      <c r="I18" s="34" t="s">
        <v>358</v>
      </c>
      <c r="J18" s="34" t="s">
        <v>360</v>
      </c>
    </row>
    <row r="19" spans="1:10" s="1" customFormat="1" ht="30" x14ac:dyDescent="0.25">
      <c r="A19" s="446" t="s">
        <v>361</v>
      </c>
      <c r="B19" s="441">
        <f>'Data for 2nd TU'!H34</f>
        <v>287150000</v>
      </c>
      <c r="C19" s="441"/>
      <c r="D19" s="441"/>
      <c r="E19" s="441">
        <f>SUM(B19:D19)</f>
        <v>287150000</v>
      </c>
      <c r="F19" s="447">
        <f>'Data for 2nd TU'!G56</f>
        <v>0.10589999999999999</v>
      </c>
      <c r="G19" s="448">
        <f>F19*E19</f>
        <v>30409185</v>
      </c>
      <c r="H19" s="447">
        <f>'Data for 2nd TU'!G59</f>
        <v>8.8359370314842575E-2</v>
      </c>
      <c r="I19" s="448">
        <f>E19*H19</f>
        <v>25372393.185907047</v>
      </c>
      <c r="J19" s="448">
        <f>I19-G19</f>
        <v>-5036791.8140929528</v>
      </c>
    </row>
    <row r="22" spans="1:10" x14ac:dyDescent="0.25">
      <c r="A22" t="s">
        <v>362</v>
      </c>
      <c r="J22" s="5">
        <f>H6</f>
        <v>-5087410.0548628457</v>
      </c>
    </row>
    <row r="24" spans="1:10" x14ac:dyDescent="0.25">
      <c r="A24" t="s">
        <v>363</v>
      </c>
    </row>
    <row r="25" spans="1:10" x14ac:dyDescent="0.25">
      <c r="J25">
        <v>0</v>
      </c>
    </row>
    <row r="26" spans="1:10" x14ac:dyDescent="0.25">
      <c r="J26">
        <v>0</v>
      </c>
    </row>
    <row r="27" spans="1:10" x14ac:dyDescent="0.25">
      <c r="J27">
        <v>0</v>
      </c>
    </row>
    <row r="28" spans="1:10" x14ac:dyDescent="0.25">
      <c r="J28">
        <v>0</v>
      </c>
    </row>
    <row r="29" spans="1:10" x14ac:dyDescent="0.25">
      <c r="A29" t="s">
        <v>364</v>
      </c>
      <c r="J29" s="449">
        <f>SUM(J22:J28)</f>
        <v>-5087410.0548628457</v>
      </c>
    </row>
    <row r="30" spans="1:10" x14ac:dyDescent="0.25">
      <c r="A30" t="s">
        <v>365</v>
      </c>
      <c r="J30" s="1">
        <f>J19</f>
        <v>-5036791.8140929528</v>
      </c>
    </row>
    <row r="31" spans="1:10" x14ac:dyDescent="0.25">
      <c r="A31" t="s">
        <v>366</v>
      </c>
      <c r="J31" s="450">
        <f>J29-J30</f>
        <v>-50618.240769892931</v>
      </c>
    </row>
    <row r="32" spans="1:10" x14ac:dyDescent="0.25">
      <c r="A32" t="s">
        <v>367</v>
      </c>
      <c r="J32" s="440">
        <f>J31/I19</f>
        <v>-1.9950124688280706E-3</v>
      </c>
    </row>
    <row r="33" spans="1:10" x14ac:dyDescent="0.25">
      <c r="J33" s="452" t="str">
        <f>IF(J32&gt;1%, "Exceeds Tolerance","OK")</f>
        <v>OK</v>
      </c>
    </row>
    <row r="39" spans="1:10" x14ac:dyDescent="0.25">
      <c r="A39" s="493" t="s">
        <v>429</v>
      </c>
      <c r="B39" s="493"/>
      <c r="C39" s="493"/>
      <c r="D39" s="493"/>
      <c r="E39" s="493"/>
      <c r="F39" s="493"/>
      <c r="G39" s="493"/>
      <c r="H39" s="493"/>
    </row>
    <row r="41" spans="1:10" ht="60" x14ac:dyDescent="0.25">
      <c r="B41" s="78" t="s">
        <v>427</v>
      </c>
      <c r="C41" s="78" t="s">
        <v>428</v>
      </c>
      <c r="D41" s="78" t="s">
        <v>155</v>
      </c>
      <c r="E41" s="78" t="s">
        <v>155</v>
      </c>
      <c r="F41" s="78" t="s">
        <v>154</v>
      </c>
      <c r="G41" s="78" t="s">
        <v>154</v>
      </c>
      <c r="H41" s="78" t="s">
        <v>86</v>
      </c>
    </row>
    <row r="42" spans="1:10" ht="45" x14ac:dyDescent="0.25">
      <c r="A42" s="75" t="s">
        <v>140</v>
      </c>
      <c r="B42" s="139" t="s">
        <v>241</v>
      </c>
      <c r="C42" s="139" t="s">
        <v>87</v>
      </c>
      <c r="D42" s="139" t="s">
        <v>137</v>
      </c>
      <c r="E42" s="139" t="s">
        <v>138</v>
      </c>
      <c r="F42" s="139" t="s">
        <v>88</v>
      </c>
      <c r="G42" s="139" t="s">
        <v>85</v>
      </c>
      <c r="H42" s="140" t="s">
        <v>139</v>
      </c>
    </row>
    <row r="43" spans="1:10" x14ac:dyDescent="0.25">
      <c r="A43" s="142">
        <v>1589</v>
      </c>
      <c r="B43" s="79">
        <f>+B6</f>
        <v>-7480000</v>
      </c>
      <c r="C43" s="79">
        <f>+C6</f>
        <v>2668476.25</v>
      </c>
      <c r="D43" s="79">
        <f t="shared" ref="D43:G43" si="0">+D6</f>
        <v>0</v>
      </c>
      <c r="E43" s="79">
        <f t="shared" si="0"/>
        <v>0</v>
      </c>
      <c r="F43" s="79">
        <f t="shared" si="0"/>
        <v>-1286685</v>
      </c>
      <c r="G43" s="79">
        <f t="shared" si="0"/>
        <v>1010798.6951371543</v>
      </c>
      <c r="H43" s="77">
        <f>SUM(B43:G43)</f>
        <v>-5087410.0548628457</v>
      </c>
    </row>
  </sheetData>
  <mergeCells count="4">
    <mergeCell ref="A1:H1"/>
    <mergeCell ref="A39:H39"/>
    <mergeCell ref="A8:H8"/>
    <mergeCell ref="A15:H15"/>
  </mergeCells>
  <pageMargins left="0.7" right="0.7" top="0.75" bottom="0.7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73"/>
  <sheetViews>
    <sheetView showGridLines="0" topLeftCell="A82" workbookViewId="0">
      <selection activeCell="B81" sqref="B81:E87"/>
    </sheetView>
  </sheetViews>
  <sheetFormatPr defaultColWidth="9.28515625" defaultRowHeight="15" x14ac:dyDescent="0.25"/>
  <cols>
    <col min="1" max="1" width="4.5703125" customWidth="1"/>
    <col min="2" max="2" width="5" customWidth="1"/>
    <col min="3" max="3" width="65.28515625" customWidth="1"/>
    <col min="4" max="4" width="18.28515625" customWidth="1"/>
    <col min="5" max="5" width="14.7109375" bestFit="1" customWidth="1"/>
    <col min="7" max="7" width="14.7109375" bestFit="1" customWidth="1"/>
    <col min="15" max="15" width="15" bestFit="1" customWidth="1"/>
    <col min="16" max="16" width="13.28515625" bestFit="1" customWidth="1"/>
  </cols>
  <sheetData>
    <row r="1" spans="1:5" ht="15" customHeight="1" thickBot="1" x14ac:dyDescent="0.3">
      <c r="B1" s="73"/>
    </row>
    <row r="2" spans="1:5" ht="15.75" thickTop="1" x14ac:dyDescent="0.25">
      <c r="B2" s="332" t="s">
        <v>386</v>
      </c>
      <c r="C2" s="326"/>
      <c r="D2" s="248"/>
      <c r="E2" s="257"/>
    </row>
    <row r="3" spans="1:5" x14ac:dyDescent="0.25">
      <c r="B3" s="251" t="s">
        <v>83</v>
      </c>
      <c r="D3" s="13"/>
      <c r="E3" s="252"/>
    </row>
    <row r="4" spans="1:5" s="19" customFormat="1" x14ac:dyDescent="0.25">
      <c r="B4" s="253"/>
      <c r="C4" s="19" t="s">
        <v>91</v>
      </c>
      <c r="D4" s="19" t="s">
        <v>92</v>
      </c>
      <c r="E4" s="254" t="s">
        <v>93</v>
      </c>
    </row>
    <row r="5" spans="1:5" s="19" customFormat="1" ht="17.25" x14ac:dyDescent="0.25">
      <c r="B5" s="251" t="s">
        <v>230</v>
      </c>
      <c r="D5" s="45">
        <f>+'Data for Settlement &amp; 1st TU'!D67</f>
        <v>5200000</v>
      </c>
      <c r="E5" s="254"/>
    </row>
    <row r="6" spans="1:5" x14ac:dyDescent="0.25">
      <c r="A6" s="11"/>
      <c r="B6" s="251" t="s">
        <v>309</v>
      </c>
      <c r="D6" s="303">
        <f>+'Data for Settlement &amp; 1st TU'!D68</f>
        <v>15968100</v>
      </c>
      <c r="E6" s="255"/>
    </row>
    <row r="7" spans="1:5" x14ac:dyDescent="0.25">
      <c r="A7" s="11"/>
      <c r="B7" s="251" t="s">
        <v>141</v>
      </c>
      <c r="D7" s="45">
        <f>+'Data for Settlement &amp; 1st TU'!D70</f>
        <v>17707500</v>
      </c>
      <c r="E7" s="255"/>
    </row>
    <row r="8" spans="1:5" x14ac:dyDescent="0.25">
      <c r="A8" s="11"/>
      <c r="B8" s="251" t="s">
        <v>142</v>
      </c>
      <c r="D8" s="45">
        <f>+'Data for Settlement &amp; 1st TU'!D69</f>
        <v>1850000</v>
      </c>
      <c r="E8" s="255"/>
    </row>
    <row r="9" spans="1:5" x14ac:dyDescent="0.25">
      <c r="A9" s="11"/>
      <c r="B9" s="251" t="s">
        <v>143</v>
      </c>
      <c r="D9" s="45">
        <f>+'Data for Settlement &amp; 1st TU'!D71</f>
        <v>21642500</v>
      </c>
      <c r="E9" s="255"/>
    </row>
    <row r="10" spans="1:5" x14ac:dyDescent="0.25">
      <c r="B10" s="251"/>
      <c r="C10" t="s">
        <v>330</v>
      </c>
      <c r="E10" s="323">
        <f>-'RPP Settlement &amp; 1st TU'!K16</f>
        <v>-2167665.0533261839</v>
      </c>
    </row>
    <row r="11" spans="1:5" x14ac:dyDescent="0.25">
      <c r="B11" s="251"/>
      <c r="C11" t="s">
        <v>211</v>
      </c>
      <c r="E11" s="323">
        <f>-'Data for Settlement &amp; 1st TU'!D73</f>
        <v>4965699.2353440998</v>
      </c>
    </row>
    <row r="12" spans="1:5" x14ac:dyDescent="0.25">
      <c r="B12" s="251"/>
      <c r="C12" t="s">
        <v>1</v>
      </c>
      <c r="D12" s="45"/>
      <c r="E12" s="323">
        <f>+'Data for Settlement &amp; 1st TU'!D75</f>
        <v>59570065.817982085</v>
      </c>
    </row>
    <row r="13" spans="1:5" ht="15.75" thickBot="1" x14ac:dyDescent="0.3">
      <c r="B13" s="251"/>
      <c r="D13" s="291">
        <f>SUM(D5:D12)</f>
        <v>62368100</v>
      </c>
      <c r="E13" s="256">
        <f>SUM(E5:E12)</f>
        <v>62368100</v>
      </c>
    </row>
    <row r="14" spans="1:5" ht="52.15" customHeight="1" thickTop="1" thickBot="1" x14ac:dyDescent="0.3">
      <c r="A14" s="11"/>
      <c r="B14" s="506" t="s">
        <v>414</v>
      </c>
      <c r="C14" s="507"/>
      <c r="D14" s="507"/>
      <c r="E14" s="508"/>
    </row>
    <row r="15" spans="1:5" ht="15.75" thickTop="1" x14ac:dyDescent="0.25">
      <c r="A15" s="11"/>
    </row>
    <row r="16" spans="1:5" x14ac:dyDescent="0.25">
      <c r="A16" s="11"/>
    </row>
    <row r="17" spans="1:6" x14ac:dyDescent="0.25">
      <c r="B17" s="333" t="s">
        <v>386</v>
      </c>
      <c r="C17" s="124"/>
      <c r="D17" s="124"/>
      <c r="E17" s="124"/>
    </row>
    <row r="18" spans="1:6" x14ac:dyDescent="0.25">
      <c r="A18" s="68"/>
      <c r="B18" s="124" t="s">
        <v>84</v>
      </c>
      <c r="C18" s="124"/>
      <c r="D18" s="125"/>
      <c r="E18" s="125"/>
    </row>
    <row r="19" spans="1:6" s="19" customFormat="1" x14ac:dyDescent="0.25">
      <c r="B19" s="126"/>
      <c r="C19" s="126" t="s">
        <v>91</v>
      </c>
      <c r="D19" s="126" t="s">
        <v>92</v>
      </c>
      <c r="E19" s="126" t="s">
        <v>93</v>
      </c>
    </row>
    <row r="20" spans="1:6" x14ac:dyDescent="0.25">
      <c r="A20" s="11"/>
      <c r="B20" s="124" t="s">
        <v>4</v>
      </c>
      <c r="C20" s="124"/>
      <c r="D20" s="324">
        <f>SUM(E21:E24)</f>
        <v>67050065.814221896</v>
      </c>
      <c r="E20" s="324"/>
      <c r="F20" s="8"/>
    </row>
    <row r="21" spans="1:6" x14ac:dyDescent="0.25">
      <c r="A21" s="11"/>
      <c r="B21" s="124"/>
      <c r="C21" s="124" t="s">
        <v>144</v>
      </c>
      <c r="D21" s="324"/>
      <c r="E21" s="324">
        <f>+'Data for Settlement &amp; 1st TU'!D90</f>
        <v>27204000</v>
      </c>
      <c r="F21" s="8"/>
    </row>
    <row r="22" spans="1:6" x14ac:dyDescent="0.25">
      <c r="B22" s="124"/>
      <c r="C22" s="124" t="s">
        <v>40</v>
      </c>
      <c r="D22" s="324"/>
      <c r="E22" s="324">
        <f>+'Data for Settlement &amp; 1st TU'!D94</f>
        <v>8873565.8142218981</v>
      </c>
      <c r="F22" s="8"/>
    </row>
    <row r="23" spans="1:6" x14ac:dyDescent="0.25">
      <c r="B23" s="124"/>
      <c r="C23" s="124" t="s">
        <v>145</v>
      </c>
      <c r="D23" s="324"/>
      <c r="E23" s="324">
        <f>+'Data for Settlement &amp; 1st TU'!D95</f>
        <v>1850000</v>
      </c>
      <c r="F23" s="8"/>
    </row>
    <row r="24" spans="1:6" x14ac:dyDescent="0.25">
      <c r="B24" s="124"/>
      <c r="C24" s="124" t="s">
        <v>146</v>
      </c>
      <c r="D24" s="324"/>
      <c r="E24" s="324">
        <f>+'Data for Settlement &amp; 1st TU'!D96</f>
        <v>29122500</v>
      </c>
      <c r="F24" s="8"/>
    </row>
    <row r="25" spans="1:6" ht="15.75" thickBot="1" x14ac:dyDescent="0.3">
      <c r="B25" s="124"/>
      <c r="C25" s="124"/>
      <c r="D25" s="392">
        <f>SUM(D20:D23)</f>
        <v>67050065.814221896</v>
      </c>
      <c r="E25" s="392">
        <f>SUM(E20:E24)</f>
        <v>67050065.814221896</v>
      </c>
    </row>
    <row r="26" spans="1:6" ht="79.900000000000006" customHeight="1" thickTop="1" x14ac:dyDescent="0.25">
      <c r="B26" s="498" t="s">
        <v>415</v>
      </c>
      <c r="C26" s="498"/>
      <c r="D26" s="498"/>
      <c r="E26" s="498"/>
    </row>
    <row r="27" spans="1:6" ht="15" customHeight="1" x14ac:dyDescent="0.25">
      <c r="B27" s="98"/>
      <c r="C27" s="98"/>
      <c r="D27" s="98"/>
      <c r="E27" s="98"/>
      <c r="F27" s="8"/>
    </row>
    <row r="28" spans="1:6" ht="15.75" thickBot="1" x14ac:dyDescent="0.3">
      <c r="D28" s="8"/>
      <c r="E28" s="12"/>
      <c r="F28" s="8"/>
    </row>
    <row r="29" spans="1:6" x14ac:dyDescent="0.25">
      <c r="B29" s="332" t="s">
        <v>386</v>
      </c>
      <c r="C29" s="248"/>
      <c r="D29" s="248"/>
      <c r="E29" s="257"/>
    </row>
    <row r="30" spans="1:6" x14ac:dyDescent="0.25">
      <c r="A30" s="68"/>
      <c r="B30" s="251" t="s">
        <v>373</v>
      </c>
      <c r="D30" s="13"/>
      <c r="E30" s="252"/>
    </row>
    <row r="31" spans="1:6" s="19" customFormat="1" x14ac:dyDescent="0.25">
      <c r="B31" s="253"/>
      <c r="C31" s="19" t="s">
        <v>91</v>
      </c>
      <c r="D31" s="19" t="s">
        <v>92</v>
      </c>
      <c r="E31" s="254" t="s">
        <v>93</v>
      </c>
    </row>
    <row r="32" spans="1:6" s="19" customFormat="1" x14ac:dyDescent="0.25">
      <c r="B32" s="251" t="s">
        <v>280</v>
      </c>
      <c r="D32" s="278">
        <f>'T-Accounts'!M41</f>
        <v>7480000</v>
      </c>
      <c r="E32" s="254"/>
      <c r="F32" s="128"/>
    </row>
    <row r="33" spans="1:6" x14ac:dyDescent="0.25">
      <c r="A33" s="11"/>
      <c r="B33" s="251"/>
      <c r="C33" t="s">
        <v>179</v>
      </c>
      <c r="D33" s="45"/>
      <c r="E33" s="255">
        <f>D32</f>
        <v>7480000</v>
      </c>
      <c r="F33" s="8"/>
    </row>
    <row r="34" spans="1:6" ht="15.75" thickBot="1" x14ac:dyDescent="0.3">
      <c r="A34" s="11"/>
      <c r="B34" s="251"/>
      <c r="D34" s="43">
        <f>SUM(D32:D33)</f>
        <v>7480000</v>
      </c>
      <c r="E34" s="393">
        <f>SUM(E32:E33)</f>
        <v>7480000</v>
      </c>
      <c r="F34" s="8"/>
    </row>
    <row r="35" spans="1:6" ht="15.75" thickTop="1" x14ac:dyDescent="0.25">
      <c r="A35" s="11"/>
      <c r="B35" s="499" t="s">
        <v>387</v>
      </c>
      <c r="C35" s="489"/>
      <c r="D35" s="489"/>
      <c r="E35" s="500"/>
      <c r="F35" s="8"/>
    </row>
    <row r="36" spans="1:6" ht="15.75" thickBot="1" x14ac:dyDescent="0.3">
      <c r="A36" s="11"/>
      <c r="B36" s="501"/>
      <c r="C36" s="502"/>
      <c r="D36" s="502"/>
      <c r="E36" s="503"/>
      <c r="F36" s="8"/>
    </row>
    <row r="37" spans="1:6" ht="16.5" thickTop="1" thickBot="1" x14ac:dyDescent="0.3">
      <c r="A37" s="11"/>
      <c r="D37" s="137"/>
    </row>
    <row r="38" spans="1:6" ht="15.75" thickTop="1" x14ac:dyDescent="0.25">
      <c r="A38" s="11"/>
      <c r="B38" s="332" t="s">
        <v>398</v>
      </c>
      <c r="C38" s="248"/>
      <c r="D38" s="279"/>
      <c r="E38" s="280"/>
      <c r="F38" s="8"/>
    </row>
    <row r="39" spans="1:6" x14ac:dyDescent="0.25">
      <c r="B39" s="251" t="s">
        <v>178</v>
      </c>
      <c r="D39" s="13"/>
      <c r="E39" s="252"/>
    </row>
    <row r="40" spans="1:6" s="19" customFormat="1" x14ac:dyDescent="0.25">
      <c r="B40" s="253"/>
      <c r="C40" s="19" t="s">
        <v>91</v>
      </c>
      <c r="D40" s="19" t="s">
        <v>92</v>
      </c>
      <c r="E40" s="254" t="s">
        <v>93</v>
      </c>
    </row>
    <row r="41" spans="1:6" x14ac:dyDescent="0.25">
      <c r="B41" s="251" t="s">
        <v>329</v>
      </c>
      <c r="D41" s="325">
        <f>E10</f>
        <v>-2167665.0533261839</v>
      </c>
      <c r="E41" s="255"/>
    </row>
    <row r="42" spans="1:6" x14ac:dyDescent="0.25">
      <c r="B42" s="251" t="s">
        <v>227</v>
      </c>
      <c r="D42" s="325">
        <f t="shared" ref="D42:D43" si="0">E11</f>
        <v>4965699.2353440998</v>
      </c>
      <c r="E42" s="255"/>
    </row>
    <row r="43" spans="1:6" x14ac:dyDescent="0.25">
      <c r="B43" s="251" t="s">
        <v>41</v>
      </c>
      <c r="D43" s="325">
        <f t="shared" si="0"/>
        <v>59570065.817982085</v>
      </c>
      <c r="E43" s="255"/>
    </row>
    <row r="44" spans="1:6" x14ac:dyDescent="0.25">
      <c r="B44" s="251"/>
      <c r="C44" t="s">
        <v>228</v>
      </c>
      <c r="D44" s="45"/>
      <c r="E44" s="255">
        <f>D5</f>
        <v>5200000</v>
      </c>
    </row>
    <row r="45" spans="1:6" x14ac:dyDescent="0.25">
      <c r="B45" s="251"/>
      <c r="C45" t="s">
        <v>310</v>
      </c>
      <c r="D45" s="45"/>
      <c r="E45" s="302">
        <f>D6</f>
        <v>15968100</v>
      </c>
    </row>
    <row r="46" spans="1:6" x14ac:dyDescent="0.25">
      <c r="B46" s="251"/>
      <c r="C46" t="s">
        <v>148</v>
      </c>
      <c r="D46" s="45"/>
      <c r="E46" s="255">
        <f>D7</f>
        <v>17707500</v>
      </c>
    </row>
    <row r="47" spans="1:6" x14ac:dyDescent="0.25">
      <c r="B47" s="251"/>
      <c r="C47" t="s">
        <v>147</v>
      </c>
      <c r="D47" s="45"/>
      <c r="E47" s="255">
        <f t="shared" ref="E47:E48" si="1">D8</f>
        <v>1850000</v>
      </c>
    </row>
    <row r="48" spans="1:6" x14ac:dyDescent="0.25">
      <c r="B48" s="251"/>
      <c r="C48" t="s">
        <v>149</v>
      </c>
      <c r="D48" s="45"/>
      <c r="E48" s="255">
        <f t="shared" si="1"/>
        <v>21642500</v>
      </c>
    </row>
    <row r="49" spans="2:6" ht="15.75" thickBot="1" x14ac:dyDescent="0.3">
      <c r="B49" s="251"/>
      <c r="D49" s="43">
        <f>SUM(D41:D48)</f>
        <v>62368100</v>
      </c>
      <c r="E49" s="306">
        <f>SUM(E41:E48)</f>
        <v>62368100</v>
      </c>
    </row>
    <row r="50" spans="2:6" ht="16.5" thickTop="1" thickBot="1" x14ac:dyDescent="0.3">
      <c r="B50" s="506" t="s">
        <v>150</v>
      </c>
      <c r="C50" s="507"/>
      <c r="D50" s="507"/>
      <c r="E50" s="508"/>
    </row>
    <row r="51" spans="2:6" ht="15.75" thickTop="1" x14ac:dyDescent="0.25"/>
    <row r="52" spans="2:6" x14ac:dyDescent="0.25">
      <c r="B52" s="74"/>
      <c r="C52" s="74"/>
      <c r="D52" s="74"/>
      <c r="E52" s="74"/>
    </row>
    <row r="53" spans="2:6" x14ac:dyDescent="0.25">
      <c r="B53" s="333" t="s">
        <v>398</v>
      </c>
      <c r="C53" s="327"/>
      <c r="D53" s="124"/>
      <c r="E53" s="124"/>
    </row>
    <row r="54" spans="2:6" x14ac:dyDescent="0.25">
      <c r="B54" s="124" t="s">
        <v>180</v>
      </c>
      <c r="C54" s="124"/>
      <c r="D54" s="125"/>
      <c r="E54" s="125"/>
    </row>
    <row r="55" spans="2:6" x14ac:dyDescent="0.25">
      <c r="B55" s="126"/>
      <c r="C55" s="126" t="s">
        <v>91</v>
      </c>
      <c r="D55" s="126" t="s">
        <v>92</v>
      </c>
      <c r="E55" s="126" t="s">
        <v>93</v>
      </c>
      <c r="F55" s="19"/>
    </row>
    <row r="56" spans="2:6" x14ac:dyDescent="0.25">
      <c r="B56" s="124"/>
      <c r="C56" s="124"/>
      <c r="D56" s="124"/>
      <c r="E56" s="124"/>
    </row>
    <row r="57" spans="2:6" x14ac:dyDescent="0.25">
      <c r="B57" s="124" t="s">
        <v>151</v>
      </c>
      <c r="C57" s="124"/>
      <c r="D57" s="324">
        <f>+E21</f>
        <v>27204000</v>
      </c>
      <c r="E57" s="324"/>
    </row>
    <row r="58" spans="2:6" x14ac:dyDescent="0.25">
      <c r="B58" s="124" t="s">
        <v>43</v>
      </c>
      <c r="C58" s="124"/>
      <c r="D58" s="324">
        <f>+E22</f>
        <v>8873565.8142218981</v>
      </c>
      <c r="E58" s="324"/>
    </row>
    <row r="59" spans="2:6" x14ac:dyDescent="0.25">
      <c r="B59" s="124" t="s">
        <v>152</v>
      </c>
      <c r="C59" s="124"/>
      <c r="D59" s="324">
        <f>+E23</f>
        <v>1850000</v>
      </c>
      <c r="E59" s="324"/>
    </row>
    <row r="60" spans="2:6" x14ac:dyDescent="0.25">
      <c r="B60" s="124" t="s">
        <v>153</v>
      </c>
      <c r="C60" s="124"/>
      <c r="D60" s="324">
        <f>+E24</f>
        <v>29122500</v>
      </c>
      <c r="E60" s="324"/>
    </row>
    <row r="61" spans="2:6" x14ac:dyDescent="0.25">
      <c r="B61" s="124"/>
      <c r="C61" s="124" t="s">
        <v>42</v>
      </c>
      <c r="D61" s="324"/>
      <c r="E61" s="324">
        <f>+D20</f>
        <v>67050065.814221896</v>
      </c>
    </row>
    <row r="62" spans="2:6" ht="15.75" thickBot="1" x14ac:dyDescent="0.3">
      <c r="B62" s="124"/>
      <c r="C62" s="124"/>
      <c r="D62" s="392">
        <f>SUM(D57:D61)</f>
        <v>67050065.814221896</v>
      </c>
      <c r="E62" s="392">
        <f>SUM(E57:E61)</f>
        <v>67050065.814221896</v>
      </c>
    </row>
    <row r="63" spans="2:6" ht="32.65" customHeight="1" thickTop="1" x14ac:dyDescent="0.25">
      <c r="B63" s="498" t="s">
        <v>416</v>
      </c>
      <c r="C63" s="498"/>
      <c r="D63" s="498"/>
      <c r="E63" s="498"/>
    </row>
    <row r="64" spans="2:6" x14ac:dyDescent="0.25">
      <c r="D64" s="8"/>
      <c r="E64" s="8"/>
    </row>
    <row r="65" spans="1:16" ht="15.75" thickBot="1" x14ac:dyDescent="0.3">
      <c r="D65" s="137"/>
    </row>
    <row r="66" spans="1:16" ht="15.75" thickTop="1" x14ac:dyDescent="0.25">
      <c r="B66" s="332" t="s">
        <v>399</v>
      </c>
      <c r="C66" s="248"/>
      <c r="D66" s="249"/>
      <c r="E66" s="250"/>
      <c r="F66" s="8"/>
    </row>
    <row r="67" spans="1:16" x14ac:dyDescent="0.25">
      <c r="B67" s="251" t="s">
        <v>181</v>
      </c>
      <c r="D67" s="13"/>
      <c r="E67" s="252"/>
      <c r="F67" s="8"/>
    </row>
    <row r="68" spans="1:16" ht="18.75" x14ac:dyDescent="0.3">
      <c r="A68" s="19"/>
      <c r="B68" s="253"/>
      <c r="C68" s="19" t="s">
        <v>91</v>
      </c>
      <c r="D68" s="19" t="s">
        <v>92</v>
      </c>
      <c r="E68" s="254" t="s">
        <v>93</v>
      </c>
      <c r="F68" s="8"/>
      <c r="M68" s="21"/>
      <c r="N68" s="9"/>
    </row>
    <row r="69" spans="1:16" ht="18.75" x14ac:dyDescent="0.3">
      <c r="A69" s="19"/>
      <c r="B69" s="251" t="s">
        <v>231</v>
      </c>
      <c r="C69" s="19"/>
      <c r="D69" s="45">
        <f>+'Data for Settlement &amp; 1st TU'!I67</f>
        <v>5200000</v>
      </c>
      <c r="E69" s="254"/>
      <c r="F69" s="8"/>
      <c r="M69" s="21"/>
      <c r="N69" s="9"/>
    </row>
    <row r="70" spans="1:16" ht="15" customHeight="1" x14ac:dyDescent="0.3">
      <c r="B70" s="251" t="s">
        <v>309</v>
      </c>
      <c r="D70" s="303">
        <f>+'Data for Settlement &amp; 1st TU'!I68</f>
        <v>16239300</v>
      </c>
      <c r="E70" s="255"/>
      <c r="F70" s="8"/>
      <c r="M70" s="21"/>
      <c r="N70" s="9"/>
    </row>
    <row r="71" spans="1:16" ht="15.75" customHeight="1" x14ac:dyDescent="0.3">
      <c r="B71" s="251" t="s">
        <v>142</v>
      </c>
      <c r="D71" s="45">
        <f>+'Data for Settlement &amp; 1st TU'!I69</f>
        <v>1980000</v>
      </c>
      <c r="E71" s="255"/>
      <c r="F71" s="8"/>
      <c r="M71" s="21"/>
      <c r="N71" s="9"/>
    </row>
    <row r="72" spans="1:16" x14ac:dyDescent="0.25">
      <c r="B72" s="251" t="s">
        <v>141</v>
      </c>
      <c r="D72" s="45">
        <f>+'Data for Settlement &amp; 1st TU'!I70</f>
        <v>19890798.75</v>
      </c>
      <c r="E72" s="255"/>
      <c r="F72" s="8"/>
      <c r="M72" s="69"/>
      <c r="N72" s="70"/>
    </row>
    <row r="73" spans="1:16" x14ac:dyDescent="0.25">
      <c r="B73" s="251" t="s">
        <v>143</v>
      </c>
      <c r="D73" s="45">
        <f>+'Data for Settlement &amp; 1st TU'!I71</f>
        <v>24310976.25</v>
      </c>
      <c r="E73" s="255"/>
      <c r="M73" s="22"/>
      <c r="N73" s="19"/>
      <c r="O73" s="71"/>
      <c r="P73" s="46"/>
    </row>
    <row r="74" spans="1:16" x14ac:dyDescent="0.25">
      <c r="B74" s="251"/>
      <c r="C74" t="s">
        <v>330</v>
      </c>
      <c r="D74" s="45"/>
      <c r="E74" s="323">
        <f>-'Data for Settlement &amp; 1st TU'!D72</f>
        <v>-2167665.0533261839</v>
      </c>
      <c r="M74" s="22"/>
      <c r="N74" s="19"/>
      <c r="O74" s="71"/>
      <c r="P74" s="46"/>
    </row>
    <row r="75" spans="1:16" s="19" customFormat="1" x14ac:dyDescent="0.25">
      <c r="A75"/>
      <c r="B75" s="251"/>
      <c r="C75" t="s">
        <v>297</v>
      </c>
      <c r="E75" s="323">
        <f>-'Data for Settlement &amp; 1st TU'!I73</f>
        <v>4965699.2353440998</v>
      </c>
    </row>
    <row r="76" spans="1:16" x14ac:dyDescent="0.25">
      <c r="B76" s="251"/>
      <c r="C76" t="s">
        <v>1</v>
      </c>
      <c r="D76" s="45"/>
      <c r="E76" s="323">
        <f>SUM(D69:D73)-E74-E75</f>
        <v>64823040.817982092</v>
      </c>
      <c r="N76" s="70"/>
      <c r="O76" s="6"/>
      <c r="P76" s="45"/>
    </row>
    <row r="77" spans="1:16" ht="15.75" thickBot="1" x14ac:dyDescent="0.3">
      <c r="B77" s="251"/>
      <c r="D77" s="291">
        <f>SUM(D69:D76)</f>
        <v>67621075</v>
      </c>
      <c r="E77" s="393">
        <f>SUM(E69:E76)</f>
        <v>67621075.000000015</v>
      </c>
      <c r="N77" s="70"/>
      <c r="O77" s="6"/>
      <c r="P77" s="45"/>
    </row>
    <row r="78" spans="1:16" ht="78.599999999999994" customHeight="1" thickTop="1" thickBot="1" x14ac:dyDescent="0.3">
      <c r="B78" s="501" t="s">
        <v>425</v>
      </c>
      <c r="C78" s="502"/>
      <c r="D78" s="502"/>
      <c r="E78" s="503"/>
      <c r="N78" s="70"/>
      <c r="O78" s="6"/>
      <c r="P78" s="45"/>
    </row>
    <row r="79" spans="1:16" ht="15.75" thickTop="1" x14ac:dyDescent="0.25">
      <c r="B79" s="98"/>
      <c r="C79" s="98"/>
      <c r="D79" s="98"/>
      <c r="E79" s="98"/>
      <c r="N79" s="70"/>
      <c r="O79" s="6"/>
      <c r="P79" s="45"/>
    </row>
    <row r="80" spans="1:16" ht="15.75" thickBot="1" x14ac:dyDescent="0.3">
      <c r="N80" s="9"/>
      <c r="O80" s="6"/>
      <c r="P80" s="45"/>
    </row>
    <row r="81" spans="1:16" ht="20.25" customHeight="1" thickTop="1" x14ac:dyDescent="0.25">
      <c r="A81" s="8"/>
      <c r="B81" s="332" t="s">
        <v>393</v>
      </c>
      <c r="C81" s="248"/>
      <c r="D81" s="248"/>
      <c r="E81" s="257"/>
      <c r="N81" s="9"/>
      <c r="O81" s="6"/>
      <c r="P81" s="45"/>
    </row>
    <row r="82" spans="1:16" ht="19.5" customHeight="1" x14ac:dyDescent="0.25">
      <c r="A82" s="8"/>
      <c r="B82" s="251" t="s">
        <v>240</v>
      </c>
      <c r="D82" s="13"/>
      <c r="E82" s="252"/>
      <c r="G82" s="94"/>
      <c r="N82" s="9"/>
      <c r="O82" s="6"/>
      <c r="P82" s="45"/>
    </row>
    <row r="83" spans="1:16" ht="15.75" customHeight="1" x14ac:dyDescent="0.25">
      <c r="A83" s="19"/>
      <c r="B83" s="253"/>
      <c r="C83" s="19" t="s">
        <v>91</v>
      </c>
      <c r="D83" s="19" t="s">
        <v>92</v>
      </c>
      <c r="E83" s="254" t="s">
        <v>93</v>
      </c>
      <c r="N83" s="9"/>
      <c r="O83" s="6"/>
      <c r="P83" s="45"/>
    </row>
    <row r="84" spans="1:16" s="19" customFormat="1" x14ac:dyDescent="0.25">
      <c r="A84" s="8"/>
      <c r="B84" s="499" t="s">
        <v>5</v>
      </c>
      <c r="C84" s="489"/>
      <c r="D84" s="304">
        <f>+E85</f>
        <v>2297090.389127064</v>
      </c>
      <c r="E84" s="307"/>
    </row>
    <row r="85" spans="1:16" x14ac:dyDescent="0.25">
      <c r="A85" s="8"/>
      <c r="B85" s="251"/>
      <c r="C85" t="s">
        <v>6</v>
      </c>
      <c r="D85" s="105"/>
      <c r="E85" s="305">
        <f>-'RPP Settlement &amp; 1st TU'!K46</f>
        <v>2297090.389127064</v>
      </c>
      <c r="F85" s="8"/>
    </row>
    <row r="86" spans="1:16" ht="15.75" thickBot="1" x14ac:dyDescent="0.3">
      <c r="A86" s="8"/>
      <c r="B86" s="251"/>
      <c r="D86" s="291">
        <f>SUM(D84:D85)</f>
        <v>2297090.389127064</v>
      </c>
      <c r="E86" s="306">
        <f>SUM(E84:E85)</f>
        <v>2297090.389127064</v>
      </c>
      <c r="F86" s="8"/>
    </row>
    <row r="87" spans="1:16" ht="35.65" customHeight="1" thickTop="1" thickBot="1" x14ac:dyDescent="0.3">
      <c r="A87" s="8"/>
      <c r="B87" s="501" t="s">
        <v>433</v>
      </c>
      <c r="C87" s="502"/>
      <c r="D87" s="502"/>
      <c r="E87" s="503"/>
      <c r="F87" s="8"/>
    </row>
    <row r="88" spans="1:16" ht="15.75" thickTop="1" x14ac:dyDescent="0.25">
      <c r="A88" s="8"/>
      <c r="B88" s="98"/>
      <c r="C88" s="98"/>
      <c r="D88" s="98"/>
      <c r="E88" s="98"/>
      <c r="F88" s="8"/>
    </row>
    <row r="89" spans="1:16" x14ac:dyDescent="0.25">
      <c r="A89" s="8"/>
      <c r="B89" s="98"/>
      <c r="C89" s="98"/>
      <c r="D89" s="98"/>
      <c r="E89" s="98"/>
    </row>
    <row r="90" spans="1:16" x14ac:dyDescent="0.25">
      <c r="B90" s="333" t="s">
        <v>393</v>
      </c>
      <c r="C90" s="124"/>
      <c r="D90" s="127"/>
      <c r="E90" s="127"/>
    </row>
    <row r="91" spans="1:16" x14ac:dyDescent="0.25">
      <c r="A91" s="68"/>
      <c r="B91" s="124" t="s">
        <v>296</v>
      </c>
      <c r="C91" s="124"/>
      <c r="D91" s="125"/>
      <c r="E91" s="125"/>
    </row>
    <row r="92" spans="1:16" x14ac:dyDescent="0.25">
      <c r="A92" s="19"/>
      <c r="B92" s="126"/>
      <c r="C92" s="126" t="s">
        <v>91</v>
      </c>
      <c r="D92" s="126" t="s">
        <v>92</v>
      </c>
      <c r="E92" s="126" t="s">
        <v>93</v>
      </c>
    </row>
    <row r="93" spans="1:16" x14ac:dyDescent="0.25">
      <c r="A93" s="11"/>
      <c r="B93" s="124" t="s">
        <v>4</v>
      </c>
      <c r="C93" s="124"/>
      <c r="D93" s="324">
        <f>SUM(E94:E97)</f>
        <v>34580032.907110944</v>
      </c>
      <c r="E93" s="324"/>
    </row>
    <row r="94" spans="1:16" x14ac:dyDescent="0.25">
      <c r="A94" s="11"/>
      <c r="B94" s="124"/>
      <c r="C94" s="124" t="s">
        <v>144</v>
      </c>
      <c r="D94" s="324"/>
      <c r="E94" s="324">
        <f>'Data for Settlement &amp; 1st TU'!O90</f>
        <v>13602000</v>
      </c>
    </row>
    <row r="95" spans="1:16" x14ac:dyDescent="0.25">
      <c r="A95" s="11"/>
      <c r="B95" s="124"/>
      <c r="C95" s="124" t="s">
        <v>40</v>
      </c>
      <c r="D95" s="324"/>
      <c r="E95" s="324">
        <f>'Data for Settlement &amp; 1st TU'!O94</f>
        <v>4436782.907110949</v>
      </c>
    </row>
    <row r="96" spans="1:16" x14ac:dyDescent="0.25">
      <c r="A96" s="11"/>
      <c r="B96" s="124"/>
      <c r="C96" s="124" t="s">
        <v>145</v>
      </c>
      <c r="D96" s="324"/>
      <c r="E96" s="324">
        <f>'Data for Settlement &amp; 1st TU'!O95</f>
        <v>1980000</v>
      </c>
    </row>
    <row r="97" spans="1:16" x14ac:dyDescent="0.25">
      <c r="A97" s="11"/>
      <c r="B97" s="124"/>
      <c r="C97" s="124" t="s">
        <v>146</v>
      </c>
      <c r="D97" s="324"/>
      <c r="E97" s="324">
        <f>'Data for Settlement &amp; 1st TU'!O96</f>
        <v>14561250</v>
      </c>
    </row>
    <row r="98" spans="1:16" ht="15.75" thickBot="1" x14ac:dyDescent="0.3">
      <c r="B98" s="124"/>
      <c r="C98" s="124"/>
      <c r="D98" s="392">
        <f>SUM(D93:D97)</f>
        <v>34580032.907110944</v>
      </c>
      <c r="E98" s="392">
        <f>SUM(E93:E97)</f>
        <v>34580032.907110944</v>
      </c>
    </row>
    <row r="99" spans="1:16" ht="78" customHeight="1" thickTop="1" x14ac:dyDescent="0.25">
      <c r="B99" s="504" t="s">
        <v>417</v>
      </c>
      <c r="C99" s="504"/>
      <c r="D99" s="504"/>
      <c r="E99" s="504"/>
    </row>
    <row r="100" spans="1:16" s="108" customFormat="1" x14ac:dyDescent="0.25">
      <c r="B100" s="129"/>
      <c r="C100" s="129"/>
      <c r="D100" s="129"/>
      <c r="E100" s="129"/>
      <c r="F100" s="48"/>
    </row>
    <row r="101" spans="1:16" x14ac:dyDescent="0.25">
      <c r="C101" s="74"/>
      <c r="D101" s="74"/>
      <c r="E101" s="74"/>
      <c r="F101" s="8"/>
    </row>
    <row r="102" spans="1:16" x14ac:dyDescent="0.25">
      <c r="B102" s="333" t="s">
        <v>393</v>
      </c>
      <c r="C102" s="124"/>
      <c r="D102" s="127"/>
      <c r="E102" s="127"/>
      <c r="F102" s="8"/>
    </row>
    <row r="103" spans="1:16" x14ac:dyDescent="0.25">
      <c r="B103" s="124" t="s">
        <v>374</v>
      </c>
      <c r="C103" s="124"/>
      <c r="D103" s="125"/>
      <c r="E103" s="125"/>
      <c r="F103" s="8"/>
    </row>
    <row r="104" spans="1:16" x14ac:dyDescent="0.25">
      <c r="B104" s="126"/>
      <c r="C104" s="126" t="s">
        <v>91</v>
      </c>
      <c r="D104" s="126" t="s">
        <v>92</v>
      </c>
      <c r="E104" s="126" t="s">
        <v>93</v>
      </c>
      <c r="F104" s="8"/>
    </row>
    <row r="105" spans="1:16" x14ac:dyDescent="0.25">
      <c r="A105" s="11"/>
      <c r="B105" s="124" t="s">
        <v>4</v>
      </c>
      <c r="C105" s="124"/>
      <c r="D105" s="324">
        <f>SUM(E106:E108)</f>
        <v>32600032.907110948</v>
      </c>
      <c r="E105" s="324"/>
      <c r="F105" s="8"/>
    </row>
    <row r="106" spans="1:16" x14ac:dyDescent="0.25">
      <c r="B106" s="124"/>
      <c r="C106" s="124" t="s">
        <v>229</v>
      </c>
      <c r="D106" s="324"/>
      <c r="E106" s="324">
        <f>'Data for Settlement &amp; 1st TU'!P90</f>
        <v>13602000</v>
      </c>
      <c r="F106" s="8"/>
      <c r="I106" s="505"/>
      <c r="J106" s="505"/>
      <c r="K106" s="505"/>
      <c r="L106" s="505"/>
    </row>
    <row r="107" spans="1:16" x14ac:dyDescent="0.25">
      <c r="B107" s="124"/>
      <c r="C107" s="124" t="s">
        <v>187</v>
      </c>
      <c r="D107" s="324"/>
      <c r="E107" s="324">
        <f>'Data for Settlement &amp; 1st TU'!P94</f>
        <v>4436782.907110949</v>
      </c>
      <c r="F107" s="8"/>
    </row>
    <row r="108" spans="1:16" x14ac:dyDescent="0.25">
      <c r="B108" s="124"/>
      <c r="C108" s="124" t="s">
        <v>188</v>
      </c>
      <c r="D108" s="324"/>
      <c r="E108" s="324">
        <f>'Data for Settlement &amp; 1st TU'!P96</f>
        <v>14561250</v>
      </c>
      <c r="F108" s="8"/>
    </row>
    <row r="109" spans="1:16" ht="15.75" thickBot="1" x14ac:dyDescent="0.3">
      <c r="B109" s="124"/>
      <c r="C109" s="124"/>
      <c r="D109" s="392">
        <f>SUM(D105:D108)</f>
        <v>32600032.907110948</v>
      </c>
      <c r="E109" s="392">
        <f>SUM(E105:E108)</f>
        <v>32600032.907110948</v>
      </c>
    </row>
    <row r="110" spans="1:16" ht="106.5" customHeight="1" thickTop="1" x14ac:dyDescent="0.25">
      <c r="B110" s="504" t="s">
        <v>418</v>
      </c>
      <c r="C110" s="504"/>
      <c r="D110" s="504"/>
      <c r="E110" s="504"/>
      <c r="F110" s="8"/>
    </row>
    <row r="111" spans="1:16" x14ac:dyDescent="0.25">
      <c r="B111" s="98"/>
      <c r="C111" s="98"/>
      <c r="D111" s="98"/>
      <c r="E111" s="98"/>
      <c r="F111" s="8"/>
      <c r="N111" s="9"/>
      <c r="O111" s="6"/>
      <c r="P111" s="45"/>
    </row>
    <row r="112" spans="1:16" ht="15.75" thickBot="1" x14ac:dyDescent="0.3">
      <c r="B112" s="98"/>
      <c r="C112" s="98"/>
      <c r="D112" s="98"/>
      <c r="E112" s="98"/>
      <c r="F112" s="8"/>
      <c r="N112" s="9"/>
      <c r="O112" s="6"/>
      <c r="P112" s="45"/>
    </row>
    <row r="113" spans="1:16" ht="15.75" thickTop="1" x14ac:dyDescent="0.25">
      <c r="A113" s="8"/>
      <c r="B113" s="332" t="s">
        <v>393</v>
      </c>
      <c r="C113" s="270"/>
      <c r="D113" s="270"/>
      <c r="E113" s="271"/>
      <c r="F113" s="8"/>
    </row>
    <row r="114" spans="1:16" ht="18" customHeight="1" x14ac:dyDescent="0.25">
      <c r="A114" s="8"/>
      <c r="B114" s="251" t="s">
        <v>376</v>
      </c>
      <c r="C114" s="98"/>
      <c r="D114" s="98"/>
      <c r="E114" s="272"/>
      <c r="N114" s="9"/>
      <c r="O114" s="6"/>
      <c r="P114" s="45"/>
    </row>
    <row r="115" spans="1:16" x14ac:dyDescent="0.25">
      <c r="A115" s="19"/>
      <c r="B115" s="253"/>
      <c r="C115" s="19" t="s">
        <v>91</v>
      </c>
      <c r="D115" s="19" t="s">
        <v>92</v>
      </c>
      <c r="E115" s="254" t="s">
        <v>93</v>
      </c>
      <c r="M115" s="72"/>
      <c r="N115" s="9"/>
      <c r="O115" s="6"/>
      <c r="P115" s="45"/>
    </row>
    <row r="116" spans="1:16" x14ac:dyDescent="0.25">
      <c r="A116" s="11"/>
      <c r="B116" s="251" t="s">
        <v>183</v>
      </c>
      <c r="D116" s="303">
        <f>'T-Accounts'!D64</f>
        <v>157408.36087293923</v>
      </c>
      <c r="E116" s="255"/>
      <c r="F116" s="105"/>
    </row>
    <row r="117" spans="1:16" x14ac:dyDescent="0.25">
      <c r="A117" s="11"/>
      <c r="B117" s="251" t="s">
        <v>182</v>
      </c>
      <c r="D117" s="45">
        <f>'T-Accounts'!M64</f>
        <v>2668476.25</v>
      </c>
      <c r="E117" s="255"/>
      <c r="F117" s="105"/>
    </row>
    <row r="118" spans="1:16" s="19" customFormat="1" x14ac:dyDescent="0.25">
      <c r="A118" s="11"/>
      <c r="B118" s="251"/>
      <c r="C118" t="s">
        <v>6</v>
      </c>
      <c r="D118" s="45"/>
      <c r="E118" s="302">
        <f>D116</f>
        <v>157408.36087293923</v>
      </c>
      <c r="F118"/>
    </row>
    <row r="119" spans="1:16" x14ac:dyDescent="0.25">
      <c r="B119" s="251"/>
      <c r="C119" t="s">
        <v>194</v>
      </c>
      <c r="E119" s="268">
        <f>+D117</f>
        <v>2668476.25</v>
      </c>
      <c r="F119" s="105"/>
    </row>
    <row r="120" spans="1:16" ht="15.75" thickBot="1" x14ac:dyDescent="0.3">
      <c r="A120" s="8"/>
      <c r="B120" s="251"/>
      <c r="D120" s="291">
        <f>SUM(D116:D119)</f>
        <v>2825884.6108729392</v>
      </c>
      <c r="E120" s="306">
        <f>SUM(E116:E119)</f>
        <v>2825884.6108729392</v>
      </c>
    </row>
    <row r="121" spans="1:16" ht="16.5" thickTop="1" thickBot="1" x14ac:dyDescent="0.3">
      <c r="A121" s="8"/>
      <c r="B121" s="273" t="s">
        <v>419</v>
      </c>
      <c r="C121" s="274"/>
      <c r="D121" s="275"/>
      <c r="E121" s="276"/>
    </row>
    <row r="122" spans="1:16" ht="15.75" thickTop="1" x14ac:dyDescent="0.25">
      <c r="A122" s="8"/>
      <c r="B122" s="98"/>
      <c r="C122" s="98"/>
      <c r="D122" s="98"/>
      <c r="E122" s="98"/>
    </row>
    <row r="123" spans="1:16" x14ac:dyDescent="0.25">
      <c r="A123" s="8"/>
      <c r="B123" s="98"/>
      <c r="C123" s="98"/>
      <c r="D123" s="98"/>
      <c r="E123" s="98"/>
    </row>
    <row r="124" spans="1:16" x14ac:dyDescent="0.25">
      <c r="B124" s="333" t="s">
        <v>400</v>
      </c>
      <c r="C124" s="124"/>
      <c r="D124" s="127"/>
      <c r="E124" s="127"/>
    </row>
    <row r="125" spans="1:16" x14ac:dyDescent="0.25">
      <c r="A125" s="68"/>
      <c r="B125" s="124" t="s">
        <v>377</v>
      </c>
      <c r="C125" s="124"/>
      <c r="D125" s="125"/>
      <c r="E125" s="125"/>
    </row>
    <row r="126" spans="1:16" x14ac:dyDescent="0.25">
      <c r="A126" s="19"/>
      <c r="B126" s="126"/>
      <c r="C126" s="126" t="s">
        <v>91</v>
      </c>
      <c r="D126" s="126" t="s">
        <v>92</v>
      </c>
      <c r="E126" s="126" t="s">
        <v>93</v>
      </c>
    </row>
    <row r="127" spans="1:16" x14ac:dyDescent="0.25">
      <c r="A127" s="11"/>
      <c r="B127" s="124" t="s">
        <v>151</v>
      </c>
      <c r="C127" s="124"/>
      <c r="D127" s="324">
        <f>'Data for Settlement &amp; 1st TU'!P90</f>
        <v>13602000</v>
      </c>
      <c r="E127" s="324"/>
    </row>
    <row r="128" spans="1:16" x14ac:dyDescent="0.25">
      <c r="A128" s="11"/>
      <c r="B128" s="124" t="s">
        <v>43</v>
      </c>
      <c r="C128" s="124"/>
      <c r="D128" s="324">
        <f>'Data for Settlement &amp; 1st TU'!P94</f>
        <v>4436782.907110949</v>
      </c>
      <c r="E128" s="324"/>
    </row>
    <row r="129" spans="1:7" x14ac:dyDescent="0.25">
      <c r="B129" s="124" t="s">
        <v>153</v>
      </c>
      <c r="C129" s="124"/>
      <c r="D129" s="324">
        <f>'Data for Settlement &amp; 1st TU'!P96</f>
        <v>14561250</v>
      </c>
      <c r="E129" s="324"/>
    </row>
    <row r="130" spans="1:7" x14ac:dyDescent="0.25">
      <c r="B130" s="124"/>
      <c r="C130" s="124" t="s">
        <v>42</v>
      </c>
      <c r="D130" s="324"/>
      <c r="E130" s="324">
        <f>'Data for Settlement &amp; 1st TU'!P99</f>
        <v>32600032.907110948</v>
      </c>
    </row>
    <row r="131" spans="1:7" ht="15.75" thickBot="1" x14ac:dyDescent="0.3">
      <c r="B131" s="124"/>
      <c r="C131" s="124"/>
      <c r="D131" s="392">
        <f>SUM(D127:D130)</f>
        <v>32600032.907110948</v>
      </c>
      <c r="E131" s="392">
        <f>SUM(E127:E130)</f>
        <v>32600032.907110948</v>
      </c>
    </row>
    <row r="132" spans="1:7" ht="16.899999999999999" customHeight="1" thickTop="1" x14ac:dyDescent="0.25">
      <c r="B132" s="498" t="s">
        <v>420</v>
      </c>
      <c r="C132" s="498"/>
      <c r="D132" s="498"/>
      <c r="E132" s="498"/>
    </row>
    <row r="133" spans="1:7" x14ac:dyDescent="0.25">
      <c r="C133" s="74"/>
      <c r="D133" s="74"/>
      <c r="E133" s="74"/>
      <c r="F133" s="8"/>
    </row>
    <row r="134" spans="1:7" x14ac:dyDescent="0.25">
      <c r="C134" s="74"/>
      <c r="D134" s="74"/>
      <c r="E134" s="74"/>
      <c r="F134" s="8"/>
    </row>
    <row r="135" spans="1:7" x14ac:dyDescent="0.25">
      <c r="A135" s="8"/>
      <c r="B135" s="333" t="s">
        <v>401</v>
      </c>
      <c r="C135" s="124"/>
      <c r="D135" s="124"/>
      <c r="E135" s="124"/>
    </row>
    <row r="136" spans="1:7" x14ac:dyDescent="0.25">
      <c r="A136" s="8"/>
      <c r="B136" s="124" t="s">
        <v>212</v>
      </c>
      <c r="C136" s="124"/>
      <c r="D136" s="124"/>
      <c r="E136" s="124"/>
    </row>
    <row r="137" spans="1:7" x14ac:dyDescent="0.25">
      <c r="A137" s="19"/>
      <c r="B137" s="126"/>
      <c r="C137" s="126" t="s">
        <v>91</v>
      </c>
      <c r="D137" s="126" t="s">
        <v>92</v>
      </c>
      <c r="E137" s="126" t="s">
        <v>93</v>
      </c>
    </row>
    <row r="138" spans="1:7" x14ac:dyDescent="0.25">
      <c r="A138" s="8"/>
      <c r="B138" s="124" t="s">
        <v>4</v>
      </c>
      <c r="C138" s="124"/>
      <c r="D138" s="394">
        <f>'Data for 2nd TU'!L90+'Data for 2nd TU'!L97</f>
        <v>33074962.000391107</v>
      </c>
      <c r="E138" s="395"/>
    </row>
    <row r="139" spans="1:7" x14ac:dyDescent="0.25">
      <c r="A139" s="8"/>
      <c r="B139" s="124"/>
      <c r="C139" s="124" t="s">
        <v>144</v>
      </c>
      <c r="D139" s="395"/>
      <c r="E139" s="394">
        <f>'Data for 2nd TU'!L90</f>
        <v>12719906.335590579</v>
      </c>
      <c r="G139" s="57"/>
    </row>
    <row r="140" spans="1:7" x14ac:dyDescent="0.25">
      <c r="A140" s="8"/>
      <c r="B140" s="124"/>
      <c r="C140" s="124" t="s">
        <v>40</v>
      </c>
      <c r="D140" s="395"/>
      <c r="E140" s="394">
        <f>'Data for 2nd TU'!L94</f>
        <v>4507120.6648005294</v>
      </c>
      <c r="G140" s="57"/>
    </row>
    <row r="141" spans="1:7" ht="14.65" customHeight="1" x14ac:dyDescent="0.25">
      <c r="A141" s="8"/>
      <c r="B141" s="124"/>
      <c r="C141" s="124" t="s">
        <v>146</v>
      </c>
      <c r="D141" s="395"/>
      <c r="E141" s="394">
        <f>'Data for 2nd TU'!L96</f>
        <v>15847935</v>
      </c>
      <c r="G141" s="57"/>
    </row>
    <row r="142" spans="1:7" ht="15.75" thickBot="1" x14ac:dyDescent="0.3">
      <c r="A142" s="8"/>
      <c r="B142" s="124"/>
      <c r="C142" s="124"/>
      <c r="D142" s="392">
        <f>SUM(D138:D141)</f>
        <v>33074962.000391107</v>
      </c>
      <c r="E142" s="392">
        <f>SUM(E138:E141)</f>
        <v>33074962.000391107</v>
      </c>
    </row>
    <row r="143" spans="1:7" ht="80.650000000000006" customHeight="1" thickTop="1" x14ac:dyDescent="0.25">
      <c r="A143" s="8"/>
      <c r="B143" s="504" t="s">
        <v>421</v>
      </c>
      <c r="C143" s="504"/>
      <c r="D143" s="504"/>
      <c r="E143" s="504"/>
    </row>
    <row r="144" spans="1:7" x14ac:dyDescent="0.25">
      <c r="A144" s="8"/>
    </row>
    <row r="145" spans="1:5" ht="15.75" thickBot="1" x14ac:dyDescent="0.3">
      <c r="A145" s="8"/>
    </row>
    <row r="146" spans="1:5" ht="18" customHeight="1" thickTop="1" x14ac:dyDescent="0.25">
      <c r="A146" s="8"/>
      <c r="B146" s="334" t="s">
        <v>401</v>
      </c>
      <c r="C146" s="248"/>
      <c r="D146" s="248"/>
      <c r="E146" s="257"/>
    </row>
    <row r="147" spans="1:5" ht="15.75" customHeight="1" x14ac:dyDescent="0.25">
      <c r="A147" s="8"/>
      <c r="B147" s="259" t="s">
        <v>213</v>
      </c>
      <c r="C147" s="260"/>
      <c r="D147" s="261"/>
      <c r="E147" s="262"/>
    </row>
    <row r="148" spans="1:5" ht="18.75" customHeight="1" x14ac:dyDescent="0.25">
      <c r="A148" s="8"/>
      <c r="B148" s="263"/>
      <c r="C148" s="264" t="s">
        <v>91</v>
      </c>
      <c r="D148" s="264" t="s">
        <v>92</v>
      </c>
      <c r="E148" s="265" t="s">
        <v>93</v>
      </c>
    </row>
    <row r="149" spans="1:5" ht="16.5" customHeight="1" x14ac:dyDescent="0.25">
      <c r="A149" s="8"/>
      <c r="B149" s="259" t="s">
        <v>0</v>
      </c>
      <c r="C149" s="260"/>
      <c r="D149" s="308">
        <f>E150</f>
        <v>10326.043026244399</v>
      </c>
      <c r="E149" s="309"/>
    </row>
    <row r="150" spans="1:5" ht="18" customHeight="1" x14ac:dyDescent="0.25">
      <c r="A150" s="8"/>
      <c r="B150" s="266"/>
      <c r="C150" s="267" t="s">
        <v>1</v>
      </c>
      <c r="D150" s="308"/>
      <c r="E150" s="309">
        <f>+'RPP 2nd TU'!K46</f>
        <v>10326.043026244399</v>
      </c>
    </row>
    <row r="151" spans="1:5" ht="18.75" customHeight="1" thickBot="1" x14ac:dyDescent="0.3">
      <c r="A151" s="8"/>
      <c r="B151" s="259"/>
      <c r="C151" s="260"/>
      <c r="D151" s="462">
        <f>SUM(D149:D150)</f>
        <v>10326.043026244399</v>
      </c>
      <c r="E151" s="463">
        <f>SUM(E149:E150)</f>
        <v>10326.043026244399</v>
      </c>
    </row>
    <row r="152" spans="1:5" ht="81" customHeight="1" thickTop="1" thickBot="1" x14ac:dyDescent="0.3">
      <c r="A152" s="8"/>
      <c r="B152" s="495" t="s">
        <v>422</v>
      </c>
      <c r="C152" s="496"/>
      <c r="D152" s="496"/>
      <c r="E152" s="497"/>
    </row>
    <row r="153" spans="1:5" ht="15.75" thickTop="1" x14ac:dyDescent="0.25">
      <c r="A153" s="8"/>
      <c r="B153" s="130"/>
      <c r="C153" s="130"/>
      <c r="D153" s="130"/>
      <c r="E153" s="130"/>
    </row>
    <row r="154" spans="1:5" ht="15.75" thickBot="1" x14ac:dyDescent="0.3">
      <c r="A154" s="8"/>
    </row>
    <row r="155" spans="1:5" ht="15.75" thickTop="1" x14ac:dyDescent="0.25">
      <c r="B155" s="334" t="s">
        <v>401</v>
      </c>
      <c r="C155" s="248"/>
      <c r="D155" s="248"/>
      <c r="E155" s="257"/>
    </row>
    <row r="156" spans="1:5" x14ac:dyDescent="0.25">
      <c r="B156" s="251" t="s">
        <v>214</v>
      </c>
      <c r="E156" s="258"/>
    </row>
    <row r="157" spans="1:5" x14ac:dyDescent="0.25">
      <c r="A157" s="19"/>
      <c r="B157" s="253"/>
      <c r="C157" s="19" t="s">
        <v>91</v>
      </c>
      <c r="D157" s="19" t="s">
        <v>92</v>
      </c>
      <c r="E157" s="254" t="s">
        <v>93</v>
      </c>
    </row>
    <row r="158" spans="1:5" x14ac:dyDescent="0.25">
      <c r="B158" s="251" t="s">
        <v>44</v>
      </c>
      <c r="C158" s="5"/>
      <c r="D158" s="5">
        <f>+'RPP vs non-RPP TU JE'!I7</f>
        <v>1010798.695137158</v>
      </c>
      <c r="E158" s="268"/>
    </row>
    <row r="159" spans="1:5" x14ac:dyDescent="0.25">
      <c r="B159" s="251"/>
      <c r="C159" t="s">
        <v>45</v>
      </c>
      <c r="E159" s="268">
        <f>+D158</f>
        <v>1010798.695137158</v>
      </c>
    </row>
    <row r="160" spans="1:5" ht="15.75" thickBot="1" x14ac:dyDescent="0.3">
      <c r="B160" s="251"/>
      <c r="D160" s="43">
        <f>SUM(D158:D159)</f>
        <v>1010798.695137158</v>
      </c>
      <c r="E160" s="256">
        <f>SUM(E158:E159)</f>
        <v>1010798.695137158</v>
      </c>
    </row>
    <row r="161" spans="2:6" ht="32.25" customHeight="1" thickTop="1" thickBot="1" x14ac:dyDescent="0.3">
      <c r="B161" s="501" t="s">
        <v>423</v>
      </c>
      <c r="C161" s="502"/>
      <c r="D161" s="502"/>
      <c r="E161" s="503"/>
    </row>
    <row r="162" spans="2:6" ht="15.75" thickTop="1" x14ac:dyDescent="0.25">
      <c r="B162" s="98"/>
      <c r="C162" s="98"/>
      <c r="D162" s="98"/>
      <c r="E162" s="98"/>
    </row>
    <row r="163" spans="2:6" ht="15.75" thickBot="1" x14ac:dyDescent="0.3"/>
    <row r="164" spans="2:6" ht="15.75" thickTop="1" x14ac:dyDescent="0.25">
      <c r="B164" s="334" t="s">
        <v>401</v>
      </c>
      <c r="C164" s="270"/>
      <c r="D164" s="270"/>
      <c r="E164" s="271"/>
    </row>
    <row r="165" spans="2:6" x14ac:dyDescent="0.25">
      <c r="B165" s="251" t="s">
        <v>378</v>
      </c>
      <c r="C165" s="98"/>
      <c r="D165" s="98"/>
      <c r="E165" s="272"/>
    </row>
    <row r="166" spans="2:6" x14ac:dyDescent="0.25">
      <c r="B166" s="253"/>
      <c r="C166" s="19" t="s">
        <v>91</v>
      </c>
      <c r="D166" s="19" t="s">
        <v>92</v>
      </c>
      <c r="E166" s="254" t="s">
        <v>93</v>
      </c>
    </row>
    <row r="167" spans="2:6" x14ac:dyDescent="0.25">
      <c r="B167" s="251" t="s">
        <v>0</v>
      </c>
      <c r="D167" s="303">
        <f>'T-Accounts'!D32</f>
        <v>188716.74539107259</v>
      </c>
      <c r="E167" s="255"/>
      <c r="F167" s="105"/>
    </row>
    <row r="168" spans="2:6" x14ac:dyDescent="0.25">
      <c r="B168" s="251" t="s">
        <v>239</v>
      </c>
      <c r="D168" s="45">
        <f>'T-Accounts'!M54</f>
        <v>275886.30486284196</v>
      </c>
      <c r="E168" s="255"/>
      <c r="F168" s="105"/>
    </row>
    <row r="169" spans="2:6" x14ac:dyDescent="0.25">
      <c r="B169" s="251"/>
      <c r="C169" t="s">
        <v>191</v>
      </c>
      <c r="D169" s="45"/>
      <c r="E169" s="302">
        <f>D167</f>
        <v>188716.74539107259</v>
      </c>
    </row>
    <row r="170" spans="2:6" x14ac:dyDescent="0.25">
      <c r="B170" s="251"/>
      <c r="C170" t="s">
        <v>192</v>
      </c>
      <c r="E170" s="268">
        <f>D168</f>
        <v>275886.30486284196</v>
      </c>
    </row>
    <row r="171" spans="2:6" ht="15.75" thickBot="1" x14ac:dyDescent="0.3">
      <c r="B171" s="251"/>
      <c r="D171" s="291">
        <f>SUM(D167:D170)</f>
        <v>464603.05025391455</v>
      </c>
      <c r="E171" s="306">
        <f>SUM(E167:E170)</f>
        <v>464603.05025391455</v>
      </c>
    </row>
    <row r="172" spans="2:6" ht="16.5" thickTop="1" thickBot="1" x14ac:dyDescent="0.3">
      <c r="B172" s="273" t="s">
        <v>424</v>
      </c>
      <c r="C172" s="274"/>
      <c r="D172" s="274"/>
      <c r="E172" s="277"/>
    </row>
    <row r="173" spans="2:6" ht="15.75" thickTop="1" x14ac:dyDescent="0.25"/>
  </sheetData>
  <mergeCells count="15">
    <mergeCell ref="I106:L106"/>
    <mergeCell ref="B14:E14"/>
    <mergeCell ref="B78:E78"/>
    <mergeCell ref="B50:E50"/>
    <mergeCell ref="B26:E26"/>
    <mergeCell ref="B152:E152"/>
    <mergeCell ref="B132:E132"/>
    <mergeCell ref="B35:E36"/>
    <mergeCell ref="B161:E161"/>
    <mergeCell ref="B143:E143"/>
    <mergeCell ref="B84:C84"/>
    <mergeCell ref="B87:E87"/>
    <mergeCell ref="B63:E63"/>
    <mergeCell ref="B110:E110"/>
    <mergeCell ref="B99:E99"/>
  </mergeCells>
  <pageMargins left="0.70866141732283472" right="0.70866141732283472" top="0.74803149606299213" bottom="0.74803149606299213" header="0.31496062992125984" footer="0.31496062992125984"/>
  <pageSetup scale="75" fitToHeight="4" orientation="portrait" horizontalDpi="4294967293" r:id="rId1"/>
  <rowBreaks count="3" manualBreakCount="3">
    <brk id="52" min="1" max="4" man="1"/>
    <brk id="87" min="1" max="4" man="1"/>
    <brk id="132" min="1"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02892-2E8E-4317-A520-5B1FD7DACB57}">
  <sheetPr>
    <pageSetUpPr fitToPage="1"/>
  </sheetPr>
  <dimension ref="A1:K25"/>
  <sheetViews>
    <sheetView workbookViewId="0">
      <selection activeCell="A8" sqref="A8"/>
    </sheetView>
  </sheetViews>
  <sheetFormatPr defaultRowHeight="15" x14ac:dyDescent="0.25"/>
  <cols>
    <col min="1" max="1" width="43.5703125" customWidth="1"/>
    <col min="2" max="2" width="15.85546875" customWidth="1"/>
    <col min="3" max="4" width="17.28515625" customWidth="1"/>
    <col min="5" max="5" width="19.5703125" customWidth="1"/>
    <col min="6" max="6" width="15.85546875" customWidth="1"/>
    <col min="7" max="7" width="15.7109375" bestFit="1" customWidth="1"/>
    <col min="8" max="8" width="21.28515625" customWidth="1"/>
    <col min="9" max="9" width="16.42578125" customWidth="1"/>
    <col min="10" max="10" width="20.5703125" customWidth="1"/>
    <col min="11" max="11" width="15.7109375" customWidth="1"/>
    <col min="12" max="12" width="6.28515625" customWidth="1"/>
    <col min="13" max="13" width="12.28515625" customWidth="1"/>
    <col min="14" max="14" width="11.28515625" customWidth="1"/>
    <col min="15" max="15" width="15.7109375" customWidth="1"/>
    <col min="16" max="20" width="14.7109375" customWidth="1"/>
    <col min="22" max="22" width="43.5703125" customWidth="1"/>
    <col min="23" max="23" width="11.28515625" customWidth="1"/>
    <col min="24" max="24" width="15.7109375" customWidth="1"/>
    <col min="25" max="29" width="14.7109375" customWidth="1"/>
    <col min="30" max="30" width="12.28515625" bestFit="1" customWidth="1"/>
  </cols>
  <sheetData>
    <row r="1" spans="1:11" x14ac:dyDescent="0.25">
      <c r="G1" s="349"/>
      <c r="H1" s="293"/>
      <c r="I1" s="350"/>
      <c r="J1" s="350"/>
      <c r="K1" s="293"/>
    </row>
    <row r="2" spans="1:11" x14ac:dyDescent="0.25">
      <c r="A2" s="426" t="s">
        <v>391</v>
      </c>
      <c r="B2" s="406"/>
      <c r="C2" s="406"/>
      <c r="D2" s="406"/>
      <c r="E2" s="406"/>
      <c r="F2" s="406"/>
      <c r="G2" s="406"/>
      <c r="H2" s="406"/>
      <c r="K2" s="5"/>
    </row>
    <row r="3" spans="1:11" x14ac:dyDescent="0.25">
      <c r="A3" s="406"/>
      <c r="B3" s="406"/>
      <c r="C3" s="406"/>
      <c r="D3" s="406"/>
      <c r="E3" s="406"/>
      <c r="F3" s="406"/>
      <c r="G3" s="406"/>
      <c r="H3" s="406"/>
      <c r="J3" s="1"/>
      <c r="K3" s="5"/>
    </row>
    <row r="4" spans="1:11" x14ac:dyDescent="0.25">
      <c r="A4" s="108"/>
      <c r="B4" s="108"/>
      <c r="C4" s="108"/>
      <c r="D4" s="108"/>
      <c r="E4" s="108"/>
      <c r="F4" s="108"/>
      <c r="G4" s="108"/>
      <c r="H4" s="108"/>
      <c r="J4" s="57"/>
      <c r="K4" s="5"/>
    </row>
    <row r="5" spans="1:11" x14ac:dyDescent="0.25">
      <c r="A5" s="427" t="s">
        <v>443</v>
      </c>
      <c r="B5" s="427"/>
      <c r="C5" s="427"/>
      <c r="D5" s="427"/>
      <c r="E5" s="427"/>
      <c r="F5" s="427"/>
      <c r="G5" s="427"/>
      <c r="H5" s="427"/>
      <c r="J5" s="2"/>
    </row>
    <row r="6" spans="1:11" x14ac:dyDescent="0.25">
      <c r="A6" s="509" t="s">
        <v>324</v>
      </c>
      <c r="B6" s="510"/>
      <c r="C6" s="510"/>
      <c r="D6" s="510"/>
      <c r="E6" s="510"/>
      <c r="F6" s="511"/>
      <c r="G6" s="427"/>
      <c r="H6" s="427"/>
      <c r="J6" s="2"/>
    </row>
    <row r="7" spans="1:11" s="345" customFormat="1" ht="77.099999999999994" customHeight="1" x14ac:dyDescent="0.25">
      <c r="A7" s="483"/>
      <c r="B7" s="484"/>
      <c r="C7" s="432" t="s">
        <v>446</v>
      </c>
      <c r="D7" s="432" t="s">
        <v>444</v>
      </c>
      <c r="E7" s="428" t="s">
        <v>7</v>
      </c>
      <c r="F7" s="428" t="s">
        <v>14</v>
      </c>
      <c r="G7" s="428" t="s">
        <v>303</v>
      </c>
      <c r="H7" s="428"/>
    </row>
    <row r="8" spans="1:11" ht="30" x14ac:dyDescent="0.25">
      <c r="A8" s="485" t="s">
        <v>304</v>
      </c>
      <c r="B8" s="486"/>
      <c r="C8" s="453">
        <f>+'Data for 2nd TU'!G103</f>
        <v>2.7763164898064498E-2</v>
      </c>
      <c r="D8" s="453">
        <f>+'Data for 2nd TU'!G110</f>
        <v>2.7878561084277709E-2</v>
      </c>
      <c r="E8" s="453">
        <f>+D8-C8</f>
        <v>1.1539618621321177E-4</v>
      </c>
      <c r="F8" s="431">
        <f>+'Data for 2nd TU'!H110</f>
        <v>321577132.16957605</v>
      </c>
      <c r="G8" s="429">
        <f>+E8*F8</f>
        <v>37108.774625751008</v>
      </c>
      <c r="H8" s="430" t="s">
        <v>306</v>
      </c>
    </row>
    <row r="10" spans="1:11" x14ac:dyDescent="0.25">
      <c r="A10" s="426" t="s">
        <v>392</v>
      </c>
      <c r="B10" s="406"/>
      <c r="C10" s="406"/>
      <c r="D10" s="406"/>
      <c r="E10" s="406"/>
      <c r="F10" s="406"/>
      <c r="G10" s="406"/>
      <c r="H10" s="406"/>
    </row>
    <row r="11" spans="1:11" x14ac:dyDescent="0.25">
      <c r="A11" s="406"/>
      <c r="B11" s="406"/>
      <c r="C11" s="406"/>
      <c r="D11" s="406"/>
      <c r="E11" s="406"/>
      <c r="F11" s="406"/>
      <c r="G11" s="406"/>
      <c r="H11" s="406"/>
    </row>
    <row r="12" spans="1:11" x14ac:dyDescent="0.25">
      <c r="A12" s="426" t="s">
        <v>445</v>
      </c>
      <c r="B12" s="406"/>
      <c r="C12" s="406"/>
      <c r="D12" s="406"/>
      <c r="E12" s="406"/>
      <c r="F12" s="406"/>
      <c r="G12" s="406"/>
      <c r="H12" s="406"/>
    </row>
    <row r="13" spans="1:11" x14ac:dyDescent="0.25">
      <c r="A13" s="512" t="s">
        <v>324</v>
      </c>
      <c r="B13" s="512"/>
      <c r="C13" s="512"/>
      <c r="D13" s="512"/>
      <c r="E13" s="512"/>
      <c r="F13" s="512"/>
      <c r="G13" s="512"/>
      <c r="H13" s="406"/>
    </row>
    <row r="14" spans="1:11" ht="83.1" customHeight="1" x14ac:dyDescent="0.25">
      <c r="A14" s="483"/>
      <c r="B14" s="484"/>
      <c r="C14" s="432" t="s">
        <v>315</v>
      </c>
      <c r="D14" s="432" t="s">
        <v>316</v>
      </c>
      <c r="E14" s="428" t="s">
        <v>7</v>
      </c>
      <c r="F14" s="428" t="s">
        <v>14</v>
      </c>
      <c r="G14" s="428" t="s">
        <v>303</v>
      </c>
      <c r="H14" s="428"/>
    </row>
    <row r="15" spans="1:11" ht="30" x14ac:dyDescent="0.25">
      <c r="A15" s="485" t="s">
        <v>308</v>
      </c>
      <c r="B15" s="486"/>
      <c r="C15" s="453">
        <f>(+'Data for 2nd TU'!I67+'Data for 2nd TU'!I73)/'Data for 2nd TU'!H67</f>
        <v>2.9287595581987524E-2</v>
      </c>
      <c r="D15" s="453">
        <f>+C15*((+'Data for 2nd TU'!I76/'Data for Settlement &amp; 1st TU'!D76))</f>
        <v>2.9763910608274841E-2</v>
      </c>
      <c r="E15" s="453">
        <f>+D15-C15</f>
        <v>4.7631502628731753E-4</v>
      </c>
      <c r="F15" s="431">
        <f>'Data for 2nd TU'!H67</f>
        <v>8000000</v>
      </c>
      <c r="G15" s="429">
        <f>+F15*E15</f>
        <v>3810.5202102985404</v>
      </c>
      <c r="H15" s="430" t="s">
        <v>306</v>
      </c>
    </row>
    <row r="17" spans="1:8" x14ac:dyDescent="0.25">
      <c r="A17" t="s">
        <v>321</v>
      </c>
    </row>
    <row r="25" spans="1:8" x14ac:dyDescent="0.25">
      <c r="H25" s="10"/>
    </row>
  </sheetData>
  <mergeCells count="2">
    <mergeCell ref="A6:F6"/>
    <mergeCell ref="A13:G13"/>
  </mergeCells>
  <pageMargins left="0.7" right="0.7" top="0.75" bottom="0.75" header="0.3" footer="0.3"/>
  <pageSetup paperSize="5" scale="8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3A8F108B04ED4889A1E6DEA5A5D7AD" ma:contentTypeVersion="16" ma:contentTypeDescription="Create a new document." ma:contentTypeScope="" ma:versionID="34522217b1e2d50e6734dfa8928dcc49">
  <xsd:schema xmlns:xsd="http://www.w3.org/2001/XMLSchema" xmlns:xs="http://www.w3.org/2001/XMLSchema" xmlns:p="http://schemas.microsoft.com/office/2006/metadata/properties" xmlns:ns2="d65b815b-cb31-4a79-b90f-29fa74ec37e1" xmlns:ns3="d4a0222c-c7b6-4c16-a8c7-ee57d30914bd" targetNamespace="http://schemas.microsoft.com/office/2006/metadata/properties" ma:root="true" ma:fieldsID="e7b6be36834620c2298bb78f3c73f8c0" ns2:_="" ns3:_="">
    <xsd:import namespace="d65b815b-cb31-4a79-b90f-29fa74ec37e1"/>
    <xsd:import namespace="d4a0222c-c7b6-4c16-a8c7-ee57d30914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b815b-cb31-4a79-b90f-29fa74ec37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173a25d-503f-4a3c-9930-1906d3e40e9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a0222c-c7b6-4c16-a8c7-ee57d30914b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49972fe-3f9c-4ec0-821b-c756c25c41df}" ma:internalName="TaxCatchAll" ma:showField="CatchAllData" ma:web="d4a0222c-c7b6-4c16-a8c7-ee57d30914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24A959-4F9E-4D31-AE7C-504E720085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b815b-cb31-4a79-b90f-29fa74ec37e1"/>
    <ds:schemaRef ds:uri="d4a0222c-c7b6-4c16-a8c7-ee57d30914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5C8CCE-B3F9-49F2-B23F-4358B26BA3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Summary of Updates</vt:lpstr>
      <vt:lpstr>Data for Settlement &amp; 1st TU</vt:lpstr>
      <vt:lpstr>RPP Settlement &amp; 1st TU</vt:lpstr>
      <vt:lpstr>Data for 2nd TU</vt:lpstr>
      <vt:lpstr>RPP 2nd TU</vt:lpstr>
      <vt:lpstr>RPP vs non-RPP TU JE</vt:lpstr>
      <vt:lpstr>Rate Application Related</vt:lpstr>
      <vt:lpstr>JEs</vt:lpstr>
      <vt:lpstr>Variances in ac 1588</vt:lpstr>
      <vt:lpstr>Final RSVA Balances</vt:lpstr>
      <vt:lpstr>T-Accounts</vt:lpstr>
      <vt:lpstr>'Data for 2nd TU'!Print_Area</vt:lpstr>
      <vt:lpstr>'Data for Settlement &amp; 1st TU'!Print_Area</vt:lpstr>
      <vt:lpstr>JEs!Print_Area</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Rajvinder Sabharwal</dc:creator>
  <cp:lastModifiedBy>Helena Wang</cp:lastModifiedBy>
  <cp:lastPrinted>2019-02-21T20:35:44Z</cp:lastPrinted>
  <dcterms:created xsi:type="dcterms:W3CDTF">2018-09-11T21:06:14Z</dcterms:created>
  <dcterms:modified xsi:type="dcterms:W3CDTF">2025-04-28T16:01:32Z</dcterms:modified>
</cp:coreProperties>
</file>